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mc:AlternateContent xmlns:mc="http://schemas.openxmlformats.org/markup-compatibility/2006">
    <mc:Choice Requires="x15">
      <x15ac:absPath xmlns:x15ac="http://schemas.microsoft.com/office/spreadsheetml/2010/11/ac" url="\\10.18.11.9\home\02koueikigyo\02 業務\01 共通業務\03 各種調査・照会\07 経営総点検調査・抜本的改革取組状況調査\R02年度作業\01 抜本的な改革の取組状況調査\07 公開用ファイル\"/>
    </mc:Choice>
  </mc:AlternateContent>
  <xr:revisionPtr revIDLastSave="0" documentId="13_ncr:1_{17C1BABD-1180-4C4B-93A1-B88342996DF7}" xr6:coauthVersionLast="45" xr6:coauthVersionMax="45" xr10:uidLastSave="{00000000-0000-0000-0000-000000000000}"/>
  <bookViews>
    <workbookView xWindow="-120" yWindow="-120" windowWidth="29040" windowHeight="15840" xr2:uid="{00000000-000D-0000-FFFF-FFFF00000000}"/>
  </bookViews>
  <sheets>
    <sheet name="水道" sheetId="3" r:id="rId1"/>
    <sheet name="工業用水道" sheetId="12" r:id="rId2"/>
    <sheet name="病院" sheetId="14" r:id="rId3"/>
    <sheet name="下水道（公共下水道）" sheetId="5" r:id="rId4"/>
    <sheet name="下水道（特定環境保全公共下水道）" sheetId="6" r:id="rId5"/>
    <sheet name="下水道（農業集落排水施設）" sheetId="7" r:id="rId6"/>
    <sheet name="下水道（特定地域排水処理施設）" sheetId="4" r:id="rId7"/>
    <sheet name="市場" sheetId="11" r:id="rId8"/>
    <sheet name="介護サービス（指定介護老人福祉施設）" sheetId="8" r:id="rId9"/>
    <sheet name="介護サービス（老人短期入所施設）" sheetId="10" r:id="rId10"/>
    <sheet name="介護サービス（老人デイサービス）" sheetId="9" r:id="rId11"/>
    <sheet name="簡易水道" sheetId="15" r:id="rId12"/>
    <sheet name="駐車場" sheetId="13"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xlnm.Print_Area" localSheetId="3">'下水道（公共下水道）'!$A$1:$BR$298</definedName>
    <definedName name="_xlnm.Print_Area" localSheetId="4">'下水道（特定環境保全公共下水道）'!$A$1:$BR$298</definedName>
    <definedName name="_xlnm.Print_Area" localSheetId="6">'下水道（特定地域排水処理施設）'!$A$1:$BR$298</definedName>
    <definedName name="_xlnm.Print_Area" localSheetId="5">'下水道（農業集落排水施設）'!$A$1:$BR$298</definedName>
    <definedName name="_xlnm.Print_Area" localSheetId="8">'介護サービス（指定介護老人福祉施設）'!$A$1:$BR$298</definedName>
    <definedName name="_xlnm.Print_Area" localSheetId="10">'介護サービス（老人デイサービス）'!$A$1:$BR$298</definedName>
    <definedName name="_xlnm.Print_Area" localSheetId="9">'介護サービス（老人短期入所施設）'!$A$1:$BR$298</definedName>
    <definedName name="_xlnm.Print_Area" localSheetId="11">簡易水道!$A$1:$BR$298</definedName>
    <definedName name="_xlnm.Print_Area" localSheetId="1">工業用水道!$A$1:$BR$298</definedName>
    <definedName name="_xlnm.Print_Area" localSheetId="7">市場!$A$1:$BR$298</definedName>
    <definedName name="_xlnm.Print_Area" localSheetId="0">水道!$A$1:$BR$298</definedName>
    <definedName name="_xlnm.Print_Area" localSheetId="12">駐車場!$A$1:$BR$298</definedName>
    <definedName name="_xlnm.Print_Area" localSheetId="2">病院!$A$1:$BR$298</definedName>
    <definedName name="業種名" localSheetId="3">[1]選択肢!$K$2:$K$19</definedName>
    <definedName name="業種名" localSheetId="4">[2]選択肢!$K$2:$K$19</definedName>
    <definedName name="業種名" localSheetId="6">[3]選択肢!$K$2:$K$19</definedName>
    <definedName name="業種名" localSheetId="5">[4]選択肢!$K$2:$K$19</definedName>
    <definedName name="業種名" localSheetId="8">[6]選択肢!$K$2:$K$19</definedName>
    <definedName name="業種名" localSheetId="10">[5]選択肢!$K$2:$K$19</definedName>
    <definedName name="業種名" localSheetId="9">[7]選択肢!$K$2:$K$19</definedName>
    <definedName name="業種名" localSheetId="11">[8]選択肢!$K$2:$K$19</definedName>
    <definedName name="業種名" localSheetId="1">[9]選択肢!$K$2:$K$19</definedName>
    <definedName name="業種名" localSheetId="7">[10]選択肢!$K$2:$K$19</definedName>
    <definedName name="業種名" localSheetId="0">[11]選択肢!$K$2:$K$19</definedName>
    <definedName name="業種名" localSheetId="12">[12]選択肢!$K$2:$K$19</definedName>
    <definedName name="業種名" localSheetId="2">[13]選択肢!$K$2:$K$19</definedName>
    <definedName name="業種名">#REF!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79" i="15" l="1"/>
  <c r="AM266" i="15"/>
  <c r="U266" i="15"/>
  <c r="N266" i="15"/>
  <c r="N260" i="15"/>
  <c r="BM257" i="15"/>
  <c r="BI257" i="15"/>
  <c r="BE257" i="15"/>
  <c r="AU256" i="15"/>
  <c r="AM256" i="15"/>
  <c r="BE254" i="15"/>
  <c r="U254" i="15"/>
  <c r="N254" i="15"/>
  <c r="AM243" i="15"/>
  <c r="U243" i="15"/>
  <c r="N243" i="15"/>
  <c r="AQ239" i="15"/>
  <c r="AQ237" i="15"/>
  <c r="N237" i="15"/>
  <c r="AY236" i="15"/>
  <c r="AQ235" i="15"/>
  <c r="BM234" i="15"/>
  <c r="BI234" i="15"/>
  <c r="BE234" i="15"/>
  <c r="AQ233" i="15"/>
  <c r="BE231" i="15"/>
  <c r="AY231" i="15"/>
  <c r="AQ231" i="15"/>
  <c r="U231" i="15"/>
  <c r="N231" i="15"/>
  <c r="AM219" i="15"/>
  <c r="U219" i="15"/>
  <c r="N219" i="15"/>
  <c r="N213" i="15"/>
  <c r="BM210" i="15"/>
  <c r="BI210" i="15"/>
  <c r="BE210" i="15"/>
  <c r="BE207" i="15"/>
  <c r="AN207" i="15"/>
  <c r="U207" i="15"/>
  <c r="N207" i="15"/>
  <c r="AM195" i="15"/>
  <c r="U195" i="15"/>
  <c r="N195" i="15"/>
  <c r="N189" i="15"/>
  <c r="BM186" i="15"/>
  <c r="BI186" i="15"/>
  <c r="BE186" i="15"/>
  <c r="AU186" i="15"/>
  <c r="AM186" i="15"/>
  <c r="BE183" i="15"/>
  <c r="U183" i="15"/>
  <c r="N183" i="15"/>
  <c r="AM171" i="15"/>
  <c r="U171" i="15"/>
  <c r="N171" i="15"/>
  <c r="N165" i="15"/>
  <c r="AU162" i="15"/>
  <c r="AQ162" i="15"/>
  <c r="AM162" i="15"/>
  <c r="AM159" i="15"/>
  <c r="U159" i="15"/>
  <c r="N159" i="15"/>
  <c r="AM147" i="15"/>
  <c r="U147" i="15"/>
  <c r="N147" i="15"/>
  <c r="AC142" i="15"/>
  <c r="U142" i="15"/>
  <c r="N141" i="15"/>
  <c r="BM138" i="15"/>
  <c r="BI138" i="15"/>
  <c r="BE138" i="15"/>
  <c r="AC137" i="15"/>
  <c r="U137" i="15"/>
  <c r="BE135" i="15"/>
  <c r="AM135" i="15"/>
  <c r="N135" i="15"/>
  <c r="AM123" i="15"/>
  <c r="U123" i="15"/>
  <c r="N123" i="15"/>
  <c r="U118" i="15"/>
  <c r="N117" i="15"/>
  <c r="BM114" i="15"/>
  <c r="BI114" i="15"/>
  <c r="BE114" i="15"/>
  <c r="U113" i="15"/>
  <c r="BE111" i="15"/>
  <c r="AM111" i="15"/>
  <c r="N111" i="15"/>
  <c r="AM99" i="15"/>
  <c r="U99" i="15"/>
  <c r="N99" i="15"/>
  <c r="AC94" i="15"/>
  <c r="U94" i="15"/>
  <c r="N93" i="15"/>
  <c r="BM90" i="15"/>
  <c r="BI90" i="15"/>
  <c r="BE90" i="15"/>
  <c r="AC89" i="15"/>
  <c r="U89" i="15"/>
  <c r="BE87" i="15"/>
  <c r="AM87" i="15"/>
  <c r="N87" i="15"/>
  <c r="AM75" i="15"/>
  <c r="U75" i="15"/>
  <c r="N75" i="15"/>
  <c r="N69" i="15"/>
  <c r="BM66" i="15"/>
  <c r="BI66" i="15"/>
  <c r="BE66" i="15"/>
  <c r="AU66" i="15"/>
  <c r="AM66" i="15"/>
  <c r="BE63" i="15"/>
  <c r="U63" i="15"/>
  <c r="N63" i="15"/>
  <c r="AM52" i="15"/>
  <c r="U52" i="15"/>
  <c r="N52" i="15"/>
  <c r="AM48" i="15"/>
  <c r="AM47" i="15"/>
  <c r="AM46" i="15"/>
  <c r="AM45" i="15"/>
  <c r="AM44" i="15"/>
  <c r="N44" i="15"/>
  <c r="AM43" i="15"/>
  <c r="AM42" i="15"/>
  <c r="BM39" i="15"/>
  <c r="BI39" i="15"/>
  <c r="BE39" i="15"/>
  <c r="AU38" i="15"/>
  <c r="AM38" i="15"/>
  <c r="BE36" i="15"/>
  <c r="U36" i="15"/>
  <c r="N36" i="15"/>
  <c r="BB24" i="15"/>
  <c r="AT24" i="15"/>
  <c r="AM24" i="15"/>
  <c r="AF24" i="15"/>
  <c r="Y24" i="15"/>
  <c r="R24" i="15"/>
  <c r="K24" i="15"/>
  <c r="D24" i="15"/>
  <c r="BF11" i="15"/>
  <c r="AO11" i="15"/>
  <c r="U11" i="15"/>
  <c r="C11" i="15"/>
  <c r="D279" i="14" l="1"/>
  <c r="AM266" i="14"/>
  <c r="U266" i="14"/>
  <c r="N266" i="14"/>
  <c r="N260" i="14"/>
  <c r="BM257" i="14"/>
  <c r="BI257" i="14"/>
  <c r="BE257" i="14"/>
  <c r="AU256" i="14"/>
  <c r="AM256" i="14"/>
  <c r="BE254" i="14"/>
  <c r="U254" i="14"/>
  <c r="N254" i="14"/>
  <c r="AM243" i="14"/>
  <c r="U243" i="14"/>
  <c r="N243" i="14"/>
  <c r="AQ239" i="14"/>
  <c r="AQ237" i="14"/>
  <c r="N237" i="14"/>
  <c r="AY236" i="14"/>
  <c r="AQ235" i="14"/>
  <c r="BM234" i="14"/>
  <c r="BI234" i="14"/>
  <c r="BE234" i="14"/>
  <c r="AQ233" i="14"/>
  <c r="BE231" i="14"/>
  <c r="AY231" i="14"/>
  <c r="AQ231" i="14"/>
  <c r="U231" i="14"/>
  <c r="N231" i="14"/>
  <c r="AM219" i="14"/>
  <c r="U219" i="14"/>
  <c r="N219" i="14"/>
  <c r="N213" i="14"/>
  <c r="BM210" i="14"/>
  <c r="BI210" i="14"/>
  <c r="BE210" i="14"/>
  <c r="BE207" i="14"/>
  <c r="AN207" i="14"/>
  <c r="U207" i="14"/>
  <c r="N207" i="14"/>
  <c r="AM195" i="14"/>
  <c r="U195" i="14"/>
  <c r="N195" i="14"/>
  <c r="N189" i="14"/>
  <c r="BM186" i="14"/>
  <c r="BI186" i="14"/>
  <c r="BE186" i="14"/>
  <c r="AU186" i="14"/>
  <c r="AM186" i="14"/>
  <c r="BE183" i="14"/>
  <c r="U183" i="14"/>
  <c r="N183" i="14"/>
  <c r="AM171" i="14"/>
  <c r="U171" i="14"/>
  <c r="N171" i="14"/>
  <c r="N165" i="14"/>
  <c r="AU162" i="14"/>
  <c r="AQ162" i="14"/>
  <c r="AM162" i="14"/>
  <c r="AM159" i="14"/>
  <c r="U159" i="14"/>
  <c r="N159" i="14"/>
  <c r="AM147" i="14"/>
  <c r="U147" i="14"/>
  <c r="N147" i="14"/>
  <c r="AC142" i="14"/>
  <c r="U142" i="14"/>
  <c r="N141" i="14"/>
  <c r="BM138" i="14"/>
  <c r="BI138" i="14"/>
  <c r="BE138" i="14"/>
  <c r="AC137" i="14"/>
  <c r="U137" i="14"/>
  <c r="BE135" i="14"/>
  <c r="AM135" i="14"/>
  <c r="N135" i="14"/>
  <c r="AM123" i="14"/>
  <c r="U123" i="14"/>
  <c r="N123" i="14"/>
  <c r="U118" i="14"/>
  <c r="N117" i="14"/>
  <c r="BM114" i="14"/>
  <c r="BI114" i="14"/>
  <c r="BE114" i="14"/>
  <c r="U113" i="14"/>
  <c r="BE111" i="14"/>
  <c r="AM111" i="14"/>
  <c r="N111" i="14"/>
  <c r="AM99" i="14"/>
  <c r="U99" i="14"/>
  <c r="N99" i="14"/>
  <c r="AC94" i="14"/>
  <c r="U94" i="14"/>
  <c r="N93" i="14"/>
  <c r="BM90" i="14"/>
  <c r="BI90" i="14"/>
  <c r="BE90" i="14"/>
  <c r="AC89" i="14"/>
  <c r="U89" i="14"/>
  <c r="BE87" i="14"/>
  <c r="AM87" i="14"/>
  <c r="N87" i="14"/>
  <c r="AM75" i="14"/>
  <c r="U75" i="14"/>
  <c r="N75" i="14"/>
  <c r="N69" i="14"/>
  <c r="BM66" i="14"/>
  <c r="BI66" i="14"/>
  <c r="BE66" i="14"/>
  <c r="AU66" i="14"/>
  <c r="AM66" i="14"/>
  <c r="BE63" i="14"/>
  <c r="U63" i="14"/>
  <c r="N63" i="14"/>
  <c r="AM52" i="14"/>
  <c r="U52" i="14"/>
  <c r="N52" i="14"/>
  <c r="AM48" i="14"/>
  <c r="AM47" i="14"/>
  <c r="AM46" i="14"/>
  <c r="AM45" i="14"/>
  <c r="AM44" i="14"/>
  <c r="N44" i="14"/>
  <c r="AM43" i="14"/>
  <c r="AM42" i="14"/>
  <c r="BM39" i="14"/>
  <c r="BI39" i="14"/>
  <c r="BE39" i="14"/>
  <c r="AU38" i="14"/>
  <c r="AM38" i="14"/>
  <c r="BE36" i="14"/>
  <c r="U36" i="14"/>
  <c r="N36" i="14"/>
  <c r="BB24" i="14"/>
  <c r="AT24" i="14"/>
  <c r="AM24" i="14"/>
  <c r="AF24" i="14"/>
  <c r="Y24" i="14"/>
  <c r="R24" i="14"/>
  <c r="K24" i="14"/>
  <c r="D24" i="14"/>
  <c r="BF11" i="14"/>
  <c r="AO11" i="14"/>
  <c r="U11" i="14"/>
  <c r="C11" i="14"/>
  <c r="D279" i="13" l="1"/>
  <c r="AM266" i="13"/>
  <c r="U266" i="13"/>
  <c r="N266" i="13"/>
  <c r="N260" i="13"/>
  <c r="BM257" i="13"/>
  <c r="BI257" i="13"/>
  <c r="BE257" i="13"/>
  <c r="AU256" i="13"/>
  <c r="AM256" i="13"/>
  <c r="BE254" i="13"/>
  <c r="U254" i="13"/>
  <c r="N254" i="13"/>
  <c r="AM243" i="13"/>
  <c r="U243" i="13"/>
  <c r="N243" i="13"/>
  <c r="AQ239" i="13"/>
  <c r="AQ237" i="13"/>
  <c r="N237" i="13"/>
  <c r="AY236" i="13"/>
  <c r="AQ235" i="13"/>
  <c r="BM234" i="13"/>
  <c r="BI234" i="13"/>
  <c r="BE234" i="13"/>
  <c r="AQ233" i="13"/>
  <c r="BE231" i="13"/>
  <c r="AY231" i="13"/>
  <c r="AQ231" i="13"/>
  <c r="U231" i="13"/>
  <c r="N231" i="13"/>
  <c r="AM219" i="13"/>
  <c r="U219" i="13"/>
  <c r="N219" i="13"/>
  <c r="N213" i="13"/>
  <c r="BM210" i="13"/>
  <c r="BI210" i="13"/>
  <c r="BE210" i="13"/>
  <c r="BE207" i="13"/>
  <c r="AN207" i="13"/>
  <c r="U207" i="13"/>
  <c r="N207" i="13"/>
  <c r="AM195" i="13"/>
  <c r="U195" i="13"/>
  <c r="N195" i="13"/>
  <c r="N189" i="13"/>
  <c r="BM186" i="13"/>
  <c r="BI186" i="13"/>
  <c r="BE186" i="13"/>
  <c r="AU186" i="13"/>
  <c r="AM186" i="13"/>
  <c r="BE183" i="13"/>
  <c r="U183" i="13"/>
  <c r="N183" i="13"/>
  <c r="AM171" i="13"/>
  <c r="U171" i="13"/>
  <c r="N171" i="13"/>
  <c r="N165" i="13"/>
  <c r="AU162" i="13"/>
  <c r="AQ162" i="13"/>
  <c r="AM162" i="13"/>
  <c r="AM159" i="13"/>
  <c r="U159" i="13"/>
  <c r="N159" i="13"/>
  <c r="AM147" i="13"/>
  <c r="U147" i="13"/>
  <c r="N147" i="13"/>
  <c r="AC142" i="13"/>
  <c r="U142" i="13"/>
  <c r="N141" i="13"/>
  <c r="BM138" i="13"/>
  <c r="BI138" i="13"/>
  <c r="BE138" i="13"/>
  <c r="AC137" i="13"/>
  <c r="U137" i="13"/>
  <c r="BE135" i="13"/>
  <c r="AM135" i="13"/>
  <c r="N135" i="13"/>
  <c r="AM123" i="13"/>
  <c r="U123" i="13"/>
  <c r="N123" i="13"/>
  <c r="U118" i="13"/>
  <c r="N117" i="13"/>
  <c r="BM114" i="13"/>
  <c r="BI114" i="13"/>
  <c r="BE114" i="13"/>
  <c r="U113" i="13"/>
  <c r="BE111" i="13"/>
  <c r="AM111" i="13"/>
  <c r="N111" i="13"/>
  <c r="AM99" i="13"/>
  <c r="U99" i="13"/>
  <c r="N99" i="13"/>
  <c r="AC94" i="13"/>
  <c r="U94" i="13"/>
  <c r="N93" i="13"/>
  <c r="BM90" i="13"/>
  <c r="BI90" i="13"/>
  <c r="BE90" i="13"/>
  <c r="AC89" i="13"/>
  <c r="U89" i="13"/>
  <c r="BE87" i="13"/>
  <c r="AM87" i="13"/>
  <c r="N87" i="13"/>
  <c r="AM75" i="13"/>
  <c r="U75" i="13"/>
  <c r="N75" i="13"/>
  <c r="N69" i="13"/>
  <c r="BM66" i="13"/>
  <c r="BI66" i="13"/>
  <c r="BE66" i="13"/>
  <c r="AU66" i="13"/>
  <c r="AM66" i="13"/>
  <c r="BE63" i="13"/>
  <c r="U63" i="13"/>
  <c r="N63" i="13"/>
  <c r="AM52" i="13"/>
  <c r="U52" i="13"/>
  <c r="N52" i="13"/>
  <c r="AM48" i="13"/>
  <c r="AM47" i="13"/>
  <c r="AM46" i="13"/>
  <c r="AM45" i="13"/>
  <c r="AM44" i="13"/>
  <c r="N44" i="13"/>
  <c r="AM43" i="13"/>
  <c r="AM42" i="13"/>
  <c r="BM39" i="13"/>
  <c r="BI39" i="13"/>
  <c r="BE39" i="13"/>
  <c r="AU38" i="13"/>
  <c r="AM38" i="13"/>
  <c r="BE36" i="13"/>
  <c r="U36" i="13"/>
  <c r="N36" i="13"/>
  <c r="BB24" i="13"/>
  <c r="AT24" i="13"/>
  <c r="AM24" i="13"/>
  <c r="AF24" i="13"/>
  <c r="Y24" i="13"/>
  <c r="R24" i="13"/>
  <c r="K24" i="13"/>
  <c r="D24" i="13"/>
  <c r="BF11" i="13"/>
  <c r="AO11" i="13"/>
  <c r="U11" i="13"/>
  <c r="C11" i="13"/>
  <c r="D279" i="12" l="1"/>
  <c r="AM266" i="12"/>
  <c r="U266" i="12"/>
  <c r="N266" i="12"/>
  <c r="N260" i="12"/>
  <c r="BM257" i="12"/>
  <c r="BI257" i="12"/>
  <c r="BE257" i="12"/>
  <c r="AU256" i="12"/>
  <c r="AM256" i="12"/>
  <c r="BE254" i="12"/>
  <c r="U254" i="12"/>
  <c r="N254" i="12"/>
  <c r="AM243" i="12"/>
  <c r="U243" i="12"/>
  <c r="N243" i="12"/>
  <c r="AQ239" i="12"/>
  <c r="AQ237" i="12"/>
  <c r="N237" i="12"/>
  <c r="AY236" i="12"/>
  <c r="AQ235" i="12"/>
  <c r="BM234" i="12"/>
  <c r="BI234" i="12"/>
  <c r="BE234" i="12"/>
  <c r="AQ233" i="12"/>
  <c r="BE231" i="12"/>
  <c r="AY231" i="12"/>
  <c r="AQ231" i="12"/>
  <c r="U231" i="12"/>
  <c r="N231" i="12"/>
  <c r="AM219" i="12"/>
  <c r="U219" i="12"/>
  <c r="N219" i="12"/>
  <c r="N213" i="12"/>
  <c r="BM210" i="12"/>
  <c r="BI210" i="12"/>
  <c r="BE210" i="12"/>
  <c r="BE207" i="12"/>
  <c r="AN207" i="12"/>
  <c r="U207" i="12"/>
  <c r="N207" i="12"/>
  <c r="AM195" i="12"/>
  <c r="U195" i="12"/>
  <c r="N195" i="12"/>
  <c r="N189" i="12"/>
  <c r="BM186" i="12"/>
  <c r="BI186" i="12"/>
  <c r="BE186" i="12"/>
  <c r="AU186" i="12"/>
  <c r="AM186" i="12"/>
  <c r="BE183" i="12"/>
  <c r="U183" i="12"/>
  <c r="N183" i="12"/>
  <c r="AM171" i="12"/>
  <c r="U171" i="12"/>
  <c r="N171" i="12"/>
  <c r="N165" i="12"/>
  <c r="AU162" i="12"/>
  <c r="AQ162" i="12"/>
  <c r="AM162" i="12"/>
  <c r="AM159" i="12"/>
  <c r="U159" i="12"/>
  <c r="N159" i="12"/>
  <c r="AM147" i="12"/>
  <c r="U147" i="12"/>
  <c r="N147" i="12"/>
  <c r="AC142" i="12"/>
  <c r="U142" i="12"/>
  <c r="N141" i="12"/>
  <c r="BM138" i="12"/>
  <c r="BI138" i="12"/>
  <c r="BE138" i="12"/>
  <c r="AC137" i="12"/>
  <c r="U137" i="12"/>
  <c r="BE135" i="12"/>
  <c r="AM135" i="12"/>
  <c r="N135" i="12"/>
  <c r="AM123" i="12"/>
  <c r="U123" i="12"/>
  <c r="N123" i="12"/>
  <c r="U118" i="12"/>
  <c r="N117" i="12"/>
  <c r="BM114" i="12"/>
  <c r="BI114" i="12"/>
  <c r="BE114" i="12"/>
  <c r="U113" i="12"/>
  <c r="BE111" i="12"/>
  <c r="AM111" i="12"/>
  <c r="N111" i="12"/>
  <c r="AM99" i="12"/>
  <c r="U99" i="12"/>
  <c r="N99" i="12"/>
  <c r="AC94" i="12"/>
  <c r="U94" i="12"/>
  <c r="N93" i="12"/>
  <c r="BM90" i="12"/>
  <c r="BI90" i="12"/>
  <c r="BE90" i="12"/>
  <c r="AC89" i="12"/>
  <c r="U89" i="12"/>
  <c r="BE87" i="12"/>
  <c r="AM87" i="12"/>
  <c r="N87" i="12"/>
  <c r="AM75" i="12"/>
  <c r="U75" i="12"/>
  <c r="N75" i="12"/>
  <c r="N69" i="12"/>
  <c r="BM66" i="12"/>
  <c r="BI66" i="12"/>
  <c r="BE66" i="12"/>
  <c r="AU66" i="12"/>
  <c r="AM66" i="12"/>
  <c r="BE63" i="12"/>
  <c r="U63" i="12"/>
  <c r="N63" i="12"/>
  <c r="AM52" i="12"/>
  <c r="U52" i="12"/>
  <c r="N52" i="12"/>
  <c r="AM48" i="12"/>
  <c r="AM47" i="12"/>
  <c r="AM46" i="12"/>
  <c r="AM45" i="12"/>
  <c r="AM44" i="12"/>
  <c r="N44" i="12"/>
  <c r="AM43" i="12"/>
  <c r="AM42" i="12"/>
  <c r="BM39" i="12"/>
  <c r="BI39" i="12"/>
  <c r="BE39" i="12"/>
  <c r="AU38" i="12"/>
  <c r="AM38" i="12"/>
  <c r="BE36" i="12"/>
  <c r="U36" i="12"/>
  <c r="N36" i="12"/>
  <c r="BB24" i="12"/>
  <c r="AT24" i="12"/>
  <c r="AM24" i="12"/>
  <c r="AF24" i="12"/>
  <c r="Y24" i="12"/>
  <c r="R24" i="12"/>
  <c r="K24" i="12"/>
  <c r="D24" i="12"/>
  <c r="BF11" i="12"/>
  <c r="AO11" i="12"/>
  <c r="U11" i="12"/>
  <c r="C11" i="12"/>
  <c r="C11" i="11" l="1"/>
  <c r="U11" i="11"/>
  <c r="AO11" i="11"/>
  <c r="BF11" i="11"/>
  <c r="D24" i="11"/>
  <c r="K24" i="11"/>
  <c r="R24" i="11"/>
  <c r="Y24" i="11"/>
  <c r="AF24" i="11"/>
  <c r="AM24" i="11"/>
  <c r="AT24" i="11"/>
  <c r="BB24" i="11"/>
  <c r="N36" i="11"/>
  <c r="U36" i="11"/>
  <c r="BE36" i="11"/>
  <c r="AM38" i="11"/>
  <c r="AU38" i="11"/>
  <c r="BE39" i="11"/>
  <c r="BI39" i="11"/>
  <c r="BM39" i="11"/>
  <c r="AM42" i="11"/>
  <c r="AM43" i="11"/>
  <c r="N44" i="11"/>
  <c r="AM44" i="11"/>
  <c r="AM45" i="11"/>
  <c r="AM46" i="11"/>
  <c r="AM47" i="11"/>
  <c r="AM48" i="11"/>
  <c r="N52" i="11"/>
  <c r="U52" i="11"/>
  <c r="AM52" i="11"/>
  <c r="N63" i="11"/>
  <c r="U63" i="11"/>
  <c r="BE63" i="11"/>
  <c r="AM66" i="11"/>
  <c r="AU66" i="11"/>
  <c r="BE66" i="11"/>
  <c r="BI66" i="11"/>
  <c r="BM66" i="11"/>
  <c r="N69" i="11"/>
  <c r="N75" i="11"/>
  <c r="U75" i="11"/>
  <c r="AM75" i="11"/>
  <c r="N87" i="11"/>
  <c r="AM87" i="11"/>
  <c r="BE87" i="11"/>
  <c r="U89" i="11"/>
  <c r="AC89" i="11"/>
  <c r="BE90" i="11"/>
  <c r="BI90" i="11"/>
  <c r="BM90" i="11"/>
  <c r="N93" i="11"/>
  <c r="U94" i="11"/>
  <c r="AC94" i="11"/>
  <c r="N99" i="11"/>
  <c r="U99" i="11"/>
  <c r="AM99" i="11"/>
  <c r="N111" i="11"/>
  <c r="AM111" i="11"/>
  <c r="BE111" i="11"/>
  <c r="U113" i="11"/>
  <c r="BE114" i="11"/>
  <c r="BI114" i="11"/>
  <c r="BM114" i="11"/>
  <c r="N117" i="11"/>
  <c r="U118" i="11"/>
  <c r="N123" i="11"/>
  <c r="U123" i="11"/>
  <c r="AM123" i="11"/>
  <c r="N135" i="11"/>
  <c r="AM135" i="11"/>
  <c r="BE135" i="11"/>
  <c r="U137" i="11"/>
  <c r="AC137" i="11"/>
  <c r="BE138" i="11"/>
  <c r="BI138" i="11"/>
  <c r="BM138" i="11"/>
  <c r="N141" i="11"/>
  <c r="U142" i="11"/>
  <c r="AC142" i="11"/>
  <c r="N147" i="11"/>
  <c r="U147" i="11"/>
  <c r="AM147" i="11"/>
  <c r="N159" i="11"/>
  <c r="U159" i="11"/>
  <c r="AM159" i="11"/>
  <c r="AM162" i="11"/>
  <c r="AQ162" i="11"/>
  <c r="AU162" i="11"/>
  <c r="N165" i="11"/>
  <c r="N171" i="11"/>
  <c r="U171" i="11"/>
  <c r="AM171" i="11"/>
  <c r="N183" i="11"/>
  <c r="U183" i="11"/>
  <c r="BE183" i="11"/>
  <c r="AM186" i="11"/>
  <c r="AU186" i="11"/>
  <c r="BE186" i="11"/>
  <c r="BI186" i="11"/>
  <c r="BM186" i="11"/>
  <c r="N189" i="11"/>
  <c r="N195" i="11"/>
  <c r="U195" i="11"/>
  <c r="AM195" i="11"/>
  <c r="N207" i="11"/>
  <c r="U207" i="11"/>
  <c r="AN207" i="11"/>
  <c r="BE207" i="11"/>
  <c r="BE210" i="11"/>
  <c r="BI210" i="11"/>
  <c r="BM210" i="11"/>
  <c r="N213" i="11"/>
  <c r="N219" i="11"/>
  <c r="U219" i="11"/>
  <c r="AM219" i="11"/>
  <c r="N231" i="11"/>
  <c r="U231" i="11"/>
  <c r="AQ231" i="11"/>
  <c r="AY231" i="11"/>
  <c r="BE231" i="11"/>
  <c r="AQ233" i="11"/>
  <c r="BE234" i="11"/>
  <c r="BI234" i="11"/>
  <c r="BM234" i="11"/>
  <c r="AQ235" i="11"/>
  <c r="AY236" i="11"/>
  <c r="N237" i="11"/>
  <c r="AQ237" i="11"/>
  <c r="AQ239" i="11"/>
  <c r="N243" i="11"/>
  <c r="U243" i="11"/>
  <c r="AM243" i="11"/>
  <c r="N254" i="11"/>
  <c r="U254" i="11"/>
  <c r="BE254" i="11"/>
  <c r="AM256" i="11"/>
  <c r="AU256" i="11"/>
  <c r="BE257" i="11"/>
  <c r="BI257" i="11"/>
  <c r="BM257" i="11"/>
  <c r="N260" i="11"/>
  <c r="N266" i="11"/>
  <c r="U266" i="11"/>
  <c r="AM266" i="11"/>
  <c r="D279" i="11"/>
  <c r="C11" i="10" l="1"/>
  <c r="U11" i="10"/>
  <c r="AO11" i="10"/>
  <c r="BF11" i="10"/>
  <c r="D24" i="10"/>
  <c r="K24" i="10"/>
  <c r="R24" i="10"/>
  <c r="Y24" i="10"/>
  <c r="AF24" i="10"/>
  <c r="AM24" i="10"/>
  <c r="AT24" i="10"/>
  <c r="BB24" i="10"/>
  <c r="N36" i="10"/>
  <c r="U36" i="10"/>
  <c r="BE36" i="10"/>
  <c r="AM38" i="10"/>
  <c r="AU38" i="10"/>
  <c r="BE39" i="10"/>
  <c r="BI39" i="10"/>
  <c r="BM39" i="10"/>
  <c r="AM42" i="10"/>
  <c r="AM43" i="10"/>
  <c r="N44" i="10"/>
  <c r="AM44" i="10"/>
  <c r="AM45" i="10"/>
  <c r="AM46" i="10"/>
  <c r="AM47" i="10"/>
  <c r="AM48" i="10"/>
  <c r="N52" i="10"/>
  <c r="U52" i="10"/>
  <c r="AM52" i="10"/>
  <c r="N63" i="10"/>
  <c r="U63" i="10"/>
  <c r="BE63" i="10"/>
  <c r="AM66" i="10"/>
  <c r="AU66" i="10"/>
  <c r="BE66" i="10"/>
  <c r="BI66" i="10"/>
  <c r="BM66" i="10"/>
  <c r="N69" i="10"/>
  <c r="N75" i="10"/>
  <c r="U75" i="10"/>
  <c r="AM75" i="10"/>
  <c r="N87" i="10"/>
  <c r="AM87" i="10"/>
  <c r="BE87" i="10"/>
  <c r="U89" i="10"/>
  <c r="AC89" i="10"/>
  <c r="BE90" i="10"/>
  <c r="BI90" i="10"/>
  <c r="BM90" i="10"/>
  <c r="N93" i="10"/>
  <c r="U94" i="10"/>
  <c r="AC94" i="10"/>
  <c r="N99" i="10"/>
  <c r="U99" i="10"/>
  <c r="AM99" i="10"/>
  <c r="N111" i="10"/>
  <c r="AM111" i="10"/>
  <c r="BE111" i="10"/>
  <c r="U113" i="10"/>
  <c r="BE114" i="10"/>
  <c r="BI114" i="10"/>
  <c r="BM114" i="10"/>
  <c r="N117" i="10"/>
  <c r="U118" i="10"/>
  <c r="N123" i="10"/>
  <c r="U123" i="10"/>
  <c r="AM123" i="10"/>
  <c r="N135" i="10"/>
  <c r="AM135" i="10"/>
  <c r="BE135" i="10"/>
  <c r="U137" i="10"/>
  <c r="AC137" i="10"/>
  <c r="BE138" i="10"/>
  <c r="BI138" i="10"/>
  <c r="BM138" i="10"/>
  <c r="N141" i="10"/>
  <c r="U142" i="10"/>
  <c r="AC142" i="10"/>
  <c r="N147" i="10"/>
  <c r="U147" i="10"/>
  <c r="AM147" i="10"/>
  <c r="N159" i="10"/>
  <c r="U159" i="10"/>
  <c r="AM159" i="10"/>
  <c r="AM162" i="10"/>
  <c r="AQ162" i="10"/>
  <c r="AU162" i="10"/>
  <c r="N165" i="10"/>
  <c r="N171" i="10"/>
  <c r="U171" i="10"/>
  <c r="AM171" i="10"/>
  <c r="N183" i="10"/>
  <c r="U183" i="10"/>
  <c r="BE183" i="10"/>
  <c r="AM186" i="10"/>
  <c r="AU186" i="10"/>
  <c r="BE186" i="10"/>
  <c r="BI186" i="10"/>
  <c r="BM186" i="10"/>
  <c r="N189" i="10"/>
  <c r="N195" i="10"/>
  <c r="U195" i="10"/>
  <c r="AM195" i="10"/>
  <c r="N207" i="10"/>
  <c r="U207" i="10"/>
  <c r="AN207" i="10"/>
  <c r="BE207" i="10"/>
  <c r="BE210" i="10"/>
  <c r="BI210" i="10"/>
  <c r="BM210" i="10"/>
  <c r="N213" i="10"/>
  <c r="N219" i="10"/>
  <c r="U219" i="10"/>
  <c r="AM219" i="10"/>
  <c r="N231" i="10"/>
  <c r="U231" i="10"/>
  <c r="AQ231" i="10"/>
  <c r="AY231" i="10"/>
  <c r="BE231" i="10"/>
  <c r="AQ233" i="10"/>
  <c r="BE234" i="10"/>
  <c r="BI234" i="10"/>
  <c r="BM234" i="10"/>
  <c r="AQ235" i="10"/>
  <c r="AY236" i="10"/>
  <c r="N237" i="10"/>
  <c r="AQ237" i="10"/>
  <c r="AQ239" i="10"/>
  <c r="N243" i="10"/>
  <c r="U243" i="10"/>
  <c r="AM243" i="10"/>
  <c r="N254" i="10"/>
  <c r="U254" i="10"/>
  <c r="BE254" i="10"/>
  <c r="AM256" i="10"/>
  <c r="AU256" i="10"/>
  <c r="BE257" i="10"/>
  <c r="BI257" i="10"/>
  <c r="BM257" i="10"/>
  <c r="N260" i="10"/>
  <c r="N266" i="10"/>
  <c r="U266" i="10"/>
  <c r="AM266" i="10"/>
  <c r="D279" i="10"/>
  <c r="D279" i="9" l="1"/>
  <c r="AM266" i="9"/>
  <c r="U266" i="9"/>
  <c r="N266" i="9"/>
  <c r="N260" i="9"/>
  <c r="BM257" i="9"/>
  <c r="BI257" i="9"/>
  <c r="BE257" i="9"/>
  <c r="AU256" i="9"/>
  <c r="AM256" i="9"/>
  <c r="BE254" i="9"/>
  <c r="U254" i="9"/>
  <c r="N254" i="9"/>
  <c r="AM243" i="9"/>
  <c r="U243" i="9"/>
  <c r="N243" i="9"/>
  <c r="AQ239" i="9"/>
  <c r="AQ237" i="9"/>
  <c r="N237" i="9"/>
  <c r="AY236" i="9"/>
  <c r="AQ235" i="9"/>
  <c r="BM234" i="9"/>
  <c r="BI234" i="9"/>
  <c r="BE234" i="9"/>
  <c r="AQ233" i="9"/>
  <c r="BE231" i="9"/>
  <c r="AY231" i="9"/>
  <c r="AQ231" i="9"/>
  <c r="U231" i="9"/>
  <c r="N231" i="9"/>
  <c r="AM219" i="9"/>
  <c r="U219" i="9"/>
  <c r="N219" i="9"/>
  <c r="N213" i="9"/>
  <c r="BM210" i="9"/>
  <c r="BI210" i="9"/>
  <c r="BE210" i="9"/>
  <c r="BE207" i="9"/>
  <c r="AN207" i="9"/>
  <c r="U207" i="9"/>
  <c r="N207" i="9"/>
  <c r="AM195" i="9"/>
  <c r="U195" i="9"/>
  <c r="N195" i="9"/>
  <c r="N189" i="9"/>
  <c r="BM186" i="9"/>
  <c r="BI186" i="9"/>
  <c r="BE186" i="9"/>
  <c r="AU186" i="9"/>
  <c r="AM186" i="9"/>
  <c r="BE183" i="9"/>
  <c r="U183" i="9"/>
  <c r="N183" i="9"/>
  <c r="AM171" i="9"/>
  <c r="U171" i="9"/>
  <c r="N171" i="9"/>
  <c r="N165" i="9"/>
  <c r="AU162" i="9"/>
  <c r="AQ162" i="9"/>
  <c r="AM162" i="9"/>
  <c r="AM159" i="9"/>
  <c r="U159" i="9"/>
  <c r="N159" i="9"/>
  <c r="AM147" i="9"/>
  <c r="U147" i="9"/>
  <c r="N147" i="9"/>
  <c r="AC142" i="9"/>
  <c r="U142" i="9"/>
  <c r="N141" i="9"/>
  <c r="BM138" i="9"/>
  <c r="BI138" i="9"/>
  <c r="BE138" i="9"/>
  <c r="AC137" i="9"/>
  <c r="U137" i="9"/>
  <c r="BE135" i="9"/>
  <c r="AM135" i="9"/>
  <c r="N135" i="9"/>
  <c r="AM123" i="9"/>
  <c r="U123" i="9"/>
  <c r="N123" i="9"/>
  <c r="U118" i="9"/>
  <c r="N117" i="9"/>
  <c r="BM114" i="9"/>
  <c r="BI114" i="9"/>
  <c r="BE114" i="9"/>
  <c r="U113" i="9"/>
  <c r="BE111" i="9"/>
  <c r="AM111" i="9"/>
  <c r="N111" i="9"/>
  <c r="AM99" i="9"/>
  <c r="U99" i="9"/>
  <c r="N99" i="9"/>
  <c r="AC94" i="9"/>
  <c r="U94" i="9"/>
  <c r="N93" i="9"/>
  <c r="BM90" i="9"/>
  <c r="BI90" i="9"/>
  <c r="BE90" i="9"/>
  <c r="AC89" i="9"/>
  <c r="U89" i="9"/>
  <c r="BE87" i="9"/>
  <c r="AM87" i="9"/>
  <c r="N87" i="9"/>
  <c r="AM75" i="9"/>
  <c r="U75" i="9"/>
  <c r="N75" i="9"/>
  <c r="N69" i="9"/>
  <c r="BM66" i="9"/>
  <c r="BI66" i="9"/>
  <c r="BE66" i="9"/>
  <c r="AU66" i="9"/>
  <c r="AM66" i="9"/>
  <c r="BE63" i="9"/>
  <c r="U63" i="9"/>
  <c r="N63" i="9"/>
  <c r="AM52" i="9"/>
  <c r="U52" i="9"/>
  <c r="N52" i="9"/>
  <c r="AM48" i="9"/>
  <c r="AM47" i="9"/>
  <c r="AM46" i="9"/>
  <c r="AM45" i="9"/>
  <c r="AM44" i="9"/>
  <c r="N44" i="9"/>
  <c r="AM43" i="9"/>
  <c r="AM42" i="9"/>
  <c r="BM39" i="9"/>
  <c r="BI39" i="9"/>
  <c r="BE39" i="9"/>
  <c r="AU38" i="9"/>
  <c r="AM38" i="9"/>
  <c r="BE36" i="9"/>
  <c r="U36" i="9"/>
  <c r="N36" i="9"/>
  <c r="BB24" i="9"/>
  <c r="AT24" i="9"/>
  <c r="AM24" i="9"/>
  <c r="AF24" i="9"/>
  <c r="Y24" i="9"/>
  <c r="R24" i="9"/>
  <c r="K24" i="9"/>
  <c r="D24" i="9"/>
  <c r="BF11" i="9"/>
  <c r="AO11" i="9"/>
  <c r="U11" i="9"/>
  <c r="C11" i="9"/>
  <c r="D279" i="8" l="1"/>
  <c r="AM266" i="8"/>
  <c r="U266" i="8"/>
  <c r="N266" i="8"/>
  <c r="N260" i="8"/>
  <c r="BM257" i="8"/>
  <c r="BI257" i="8"/>
  <c r="BE257" i="8"/>
  <c r="AU256" i="8"/>
  <c r="AM256" i="8"/>
  <c r="BE254" i="8"/>
  <c r="U254" i="8"/>
  <c r="N254" i="8"/>
  <c r="AM243" i="8"/>
  <c r="U243" i="8"/>
  <c r="N243" i="8"/>
  <c r="AQ239" i="8"/>
  <c r="AQ237" i="8"/>
  <c r="N237" i="8"/>
  <c r="AY236" i="8"/>
  <c r="AQ235" i="8"/>
  <c r="BM234" i="8"/>
  <c r="BI234" i="8"/>
  <c r="BE234" i="8"/>
  <c r="AQ233" i="8"/>
  <c r="BE231" i="8"/>
  <c r="AY231" i="8"/>
  <c r="AQ231" i="8"/>
  <c r="U231" i="8"/>
  <c r="N231" i="8"/>
  <c r="AM219" i="8"/>
  <c r="U219" i="8"/>
  <c r="N219" i="8"/>
  <c r="N213" i="8"/>
  <c r="BM210" i="8"/>
  <c r="BI210" i="8"/>
  <c r="BE210" i="8"/>
  <c r="BE207" i="8"/>
  <c r="AN207" i="8"/>
  <c r="U207" i="8"/>
  <c r="N207" i="8"/>
  <c r="AM195" i="8"/>
  <c r="U195" i="8"/>
  <c r="N195" i="8"/>
  <c r="N189" i="8"/>
  <c r="BM186" i="8"/>
  <c r="BI186" i="8"/>
  <c r="BE186" i="8"/>
  <c r="AU186" i="8"/>
  <c r="AM186" i="8"/>
  <c r="BE183" i="8"/>
  <c r="U183" i="8"/>
  <c r="N183" i="8"/>
  <c r="AM171" i="8"/>
  <c r="U171" i="8"/>
  <c r="N171" i="8"/>
  <c r="N165" i="8"/>
  <c r="AU162" i="8"/>
  <c r="AQ162" i="8"/>
  <c r="AM162" i="8"/>
  <c r="AM159" i="8"/>
  <c r="U159" i="8"/>
  <c r="N159" i="8"/>
  <c r="AM147" i="8"/>
  <c r="U147" i="8"/>
  <c r="N147" i="8"/>
  <c r="AC142" i="8"/>
  <c r="U142" i="8"/>
  <c r="N141" i="8"/>
  <c r="BM138" i="8"/>
  <c r="BI138" i="8"/>
  <c r="BE138" i="8"/>
  <c r="AC137" i="8"/>
  <c r="U137" i="8"/>
  <c r="BE135" i="8"/>
  <c r="AM135" i="8"/>
  <c r="N135" i="8"/>
  <c r="AM123" i="8"/>
  <c r="U123" i="8"/>
  <c r="N123" i="8"/>
  <c r="U118" i="8"/>
  <c r="N117" i="8"/>
  <c r="BM114" i="8"/>
  <c r="BI114" i="8"/>
  <c r="BE114" i="8"/>
  <c r="U113" i="8"/>
  <c r="BE111" i="8"/>
  <c r="AM111" i="8"/>
  <c r="N111" i="8"/>
  <c r="AM99" i="8"/>
  <c r="U99" i="8"/>
  <c r="N99" i="8"/>
  <c r="AC94" i="8"/>
  <c r="U94" i="8"/>
  <c r="N93" i="8"/>
  <c r="BM90" i="8"/>
  <c r="BI90" i="8"/>
  <c r="BE90" i="8"/>
  <c r="AC89" i="8"/>
  <c r="U89" i="8"/>
  <c r="BE87" i="8"/>
  <c r="AM87" i="8"/>
  <c r="N87" i="8"/>
  <c r="AM75" i="8"/>
  <c r="U75" i="8"/>
  <c r="N75" i="8"/>
  <c r="N69" i="8"/>
  <c r="BM66" i="8"/>
  <c r="BI66" i="8"/>
  <c r="BE66" i="8"/>
  <c r="AU66" i="8"/>
  <c r="AM66" i="8"/>
  <c r="BE63" i="8"/>
  <c r="U63" i="8"/>
  <c r="N63" i="8"/>
  <c r="AM52" i="8"/>
  <c r="U52" i="8"/>
  <c r="N52" i="8"/>
  <c r="AM48" i="8"/>
  <c r="AM47" i="8"/>
  <c r="AM46" i="8"/>
  <c r="AM45" i="8"/>
  <c r="AM44" i="8"/>
  <c r="N44" i="8"/>
  <c r="AM43" i="8"/>
  <c r="AM42" i="8"/>
  <c r="BM39" i="8"/>
  <c r="BI39" i="8"/>
  <c r="BE39" i="8"/>
  <c r="AU38" i="8"/>
  <c r="AM38" i="8"/>
  <c r="BE36" i="8"/>
  <c r="U36" i="8"/>
  <c r="N36" i="8"/>
  <c r="BB24" i="8"/>
  <c r="AT24" i="8"/>
  <c r="AM24" i="8"/>
  <c r="AF24" i="8"/>
  <c r="Y24" i="8"/>
  <c r="R24" i="8"/>
  <c r="K24" i="8"/>
  <c r="D24" i="8"/>
  <c r="BF11" i="8"/>
  <c r="AO11" i="8"/>
  <c r="U11" i="8"/>
  <c r="C11" i="8"/>
  <c r="D279" i="7" l="1"/>
  <c r="AM266" i="7"/>
  <c r="U266" i="7"/>
  <c r="N266" i="7"/>
  <c r="N260" i="7"/>
  <c r="BM257" i="7"/>
  <c r="BI257" i="7"/>
  <c r="BE257" i="7"/>
  <c r="AU256" i="7"/>
  <c r="AM256" i="7"/>
  <c r="BE254" i="7"/>
  <c r="U254" i="7"/>
  <c r="N254" i="7"/>
  <c r="AM243" i="7"/>
  <c r="U243" i="7"/>
  <c r="N243" i="7"/>
  <c r="AQ239" i="7"/>
  <c r="AQ237" i="7"/>
  <c r="N237" i="7"/>
  <c r="AY236" i="7"/>
  <c r="AQ235" i="7"/>
  <c r="BM234" i="7"/>
  <c r="BI234" i="7"/>
  <c r="BE234" i="7"/>
  <c r="AQ233" i="7"/>
  <c r="BE231" i="7"/>
  <c r="AY231" i="7"/>
  <c r="AQ231" i="7"/>
  <c r="U231" i="7"/>
  <c r="N231" i="7"/>
  <c r="AM219" i="7"/>
  <c r="U219" i="7"/>
  <c r="N219" i="7"/>
  <c r="N213" i="7"/>
  <c r="BM210" i="7"/>
  <c r="BI210" i="7"/>
  <c r="BE210" i="7"/>
  <c r="BE207" i="7"/>
  <c r="AN207" i="7"/>
  <c r="U207" i="7"/>
  <c r="N207" i="7"/>
  <c r="AM195" i="7"/>
  <c r="U195" i="7"/>
  <c r="N195" i="7"/>
  <c r="N189" i="7"/>
  <c r="BM186" i="7"/>
  <c r="BI186" i="7"/>
  <c r="BE186" i="7"/>
  <c r="AU186" i="7"/>
  <c r="AM186" i="7"/>
  <c r="BE183" i="7"/>
  <c r="U183" i="7"/>
  <c r="N183" i="7"/>
  <c r="AM171" i="7"/>
  <c r="U171" i="7"/>
  <c r="N171" i="7"/>
  <c r="N165" i="7"/>
  <c r="AU162" i="7"/>
  <c r="AQ162" i="7"/>
  <c r="AM162" i="7"/>
  <c r="AM159" i="7"/>
  <c r="U159" i="7"/>
  <c r="N159" i="7"/>
  <c r="AM147" i="7"/>
  <c r="U147" i="7"/>
  <c r="N147" i="7"/>
  <c r="AC142" i="7"/>
  <c r="U142" i="7"/>
  <c r="N141" i="7"/>
  <c r="BM138" i="7"/>
  <c r="BI138" i="7"/>
  <c r="BE138" i="7"/>
  <c r="AC137" i="7"/>
  <c r="U137" i="7"/>
  <c r="BE135" i="7"/>
  <c r="AM135" i="7"/>
  <c r="N135" i="7"/>
  <c r="AM123" i="7"/>
  <c r="U123" i="7"/>
  <c r="N123" i="7"/>
  <c r="U118" i="7"/>
  <c r="N117" i="7"/>
  <c r="BM114" i="7"/>
  <c r="BI114" i="7"/>
  <c r="BE114" i="7"/>
  <c r="U113" i="7"/>
  <c r="BE111" i="7"/>
  <c r="AM111" i="7"/>
  <c r="N111" i="7"/>
  <c r="AM99" i="7"/>
  <c r="U99" i="7"/>
  <c r="N99" i="7"/>
  <c r="AC94" i="7"/>
  <c r="U94" i="7"/>
  <c r="N93" i="7"/>
  <c r="BM90" i="7"/>
  <c r="BI90" i="7"/>
  <c r="BE90" i="7"/>
  <c r="AC89" i="7"/>
  <c r="U89" i="7"/>
  <c r="BE87" i="7"/>
  <c r="AM87" i="7"/>
  <c r="N87" i="7"/>
  <c r="AM75" i="7"/>
  <c r="U75" i="7"/>
  <c r="N75" i="7"/>
  <c r="N69" i="7"/>
  <c r="BM66" i="7"/>
  <c r="BI66" i="7"/>
  <c r="BE66" i="7"/>
  <c r="AU66" i="7"/>
  <c r="AM66" i="7"/>
  <c r="BE63" i="7"/>
  <c r="U63" i="7"/>
  <c r="N63" i="7"/>
  <c r="AM52" i="7"/>
  <c r="U52" i="7"/>
  <c r="N52" i="7"/>
  <c r="AM48" i="7"/>
  <c r="AM47" i="7"/>
  <c r="AM46" i="7"/>
  <c r="AM45" i="7"/>
  <c r="AM44" i="7"/>
  <c r="N44" i="7"/>
  <c r="AM43" i="7"/>
  <c r="AM42" i="7"/>
  <c r="BM39" i="7"/>
  <c r="BI39" i="7"/>
  <c r="BE39" i="7"/>
  <c r="AU38" i="7"/>
  <c r="AM38" i="7"/>
  <c r="BE36" i="7"/>
  <c r="U36" i="7"/>
  <c r="N36" i="7"/>
  <c r="BB24" i="7"/>
  <c r="AT24" i="7"/>
  <c r="AM24" i="7"/>
  <c r="AF24" i="7"/>
  <c r="Y24" i="7"/>
  <c r="R24" i="7"/>
  <c r="K24" i="7"/>
  <c r="D24" i="7"/>
  <c r="BF11" i="7"/>
  <c r="AO11" i="7"/>
  <c r="U11" i="7"/>
  <c r="C11" i="7"/>
  <c r="D279" i="6" l="1"/>
  <c r="AM266" i="6"/>
  <c r="U266" i="6"/>
  <c r="N266" i="6"/>
  <c r="N260" i="6"/>
  <c r="BM257" i="6"/>
  <c r="BI257" i="6"/>
  <c r="BE257" i="6"/>
  <c r="AU256" i="6"/>
  <c r="AM256" i="6"/>
  <c r="BE254" i="6"/>
  <c r="U254" i="6"/>
  <c r="N254" i="6"/>
  <c r="AM243" i="6"/>
  <c r="U243" i="6"/>
  <c r="N243" i="6"/>
  <c r="AQ239" i="6"/>
  <c r="AQ237" i="6"/>
  <c r="N237" i="6"/>
  <c r="AY236" i="6"/>
  <c r="AQ235" i="6"/>
  <c r="BM234" i="6"/>
  <c r="BI234" i="6"/>
  <c r="BE234" i="6"/>
  <c r="AQ233" i="6"/>
  <c r="BE231" i="6"/>
  <c r="AY231" i="6"/>
  <c r="AQ231" i="6"/>
  <c r="U231" i="6"/>
  <c r="N231" i="6"/>
  <c r="AM219" i="6"/>
  <c r="U219" i="6"/>
  <c r="N219" i="6"/>
  <c r="N213" i="6"/>
  <c r="BM210" i="6"/>
  <c r="BI210" i="6"/>
  <c r="BE210" i="6"/>
  <c r="BE207" i="6"/>
  <c r="AN207" i="6"/>
  <c r="U207" i="6"/>
  <c r="N207" i="6"/>
  <c r="AM195" i="6"/>
  <c r="U195" i="6"/>
  <c r="N195" i="6"/>
  <c r="N189" i="6"/>
  <c r="BM186" i="6"/>
  <c r="BI186" i="6"/>
  <c r="BE186" i="6"/>
  <c r="AU186" i="6"/>
  <c r="AM186" i="6"/>
  <c r="BE183" i="6"/>
  <c r="U183" i="6"/>
  <c r="N183" i="6"/>
  <c r="AM171" i="6"/>
  <c r="U171" i="6"/>
  <c r="N171" i="6"/>
  <c r="N165" i="6"/>
  <c r="AU162" i="6"/>
  <c r="AQ162" i="6"/>
  <c r="AM162" i="6"/>
  <c r="AM159" i="6"/>
  <c r="U159" i="6"/>
  <c r="N159" i="6"/>
  <c r="AM147" i="6"/>
  <c r="U147" i="6"/>
  <c r="N147" i="6"/>
  <c r="AC142" i="6"/>
  <c r="U142" i="6"/>
  <c r="N141" i="6"/>
  <c r="BM138" i="6"/>
  <c r="BI138" i="6"/>
  <c r="BE138" i="6"/>
  <c r="AC137" i="6"/>
  <c r="U137" i="6"/>
  <c r="BE135" i="6"/>
  <c r="AM135" i="6"/>
  <c r="N135" i="6"/>
  <c r="AM123" i="6"/>
  <c r="U123" i="6"/>
  <c r="N123" i="6"/>
  <c r="U118" i="6"/>
  <c r="N117" i="6"/>
  <c r="BM114" i="6"/>
  <c r="BI114" i="6"/>
  <c r="BE114" i="6"/>
  <c r="U113" i="6"/>
  <c r="BE111" i="6"/>
  <c r="AM111" i="6"/>
  <c r="N111" i="6"/>
  <c r="AM99" i="6"/>
  <c r="U99" i="6"/>
  <c r="N99" i="6"/>
  <c r="AC94" i="6"/>
  <c r="U94" i="6"/>
  <c r="N93" i="6"/>
  <c r="BM90" i="6"/>
  <c r="BI90" i="6"/>
  <c r="BE90" i="6"/>
  <c r="AC89" i="6"/>
  <c r="U89" i="6"/>
  <c r="BE87" i="6"/>
  <c r="AM87" i="6"/>
  <c r="N87" i="6"/>
  <c r="AM75" i="6"/>
  <c r="U75" i="6"/>
  <c r="N75" i="6"/>
  <c r="N69" i="6"/>
  <c r="BM66" i="6"/>
  <c r="BI66" i="6"/>
  <c r="BE66" i="6"/>
  <c r="AU66" i="6"/>
  <c r="AM66" i="6"/>
  <c r="BE63" i="6"/>
  <c r="U63" i="6"/>
  <c r="N63" i="6"/>
  <c r="AM52" i="6"/>
  <c r="U52" i="6"/>
  <c r="N52" i="6"/>
  <c r="AM48" i="6"/>
  <c r="AM47" i="6"/>
  <c r="AM46" i="6"/>
  <c r="AM45" i="6"/>
  <c r="AM44" i="6"/>
  <c r="N44" i="6"/>
  <c r="AM43" i="6"/>
  <c r="AM42" i="6"/>
  <c r="BM39" i="6"/>
  <c r="BI39" i="6"/>
  <c r="BE39" i="6"/>
  <c r="AU38" i="6"/>
  <c r="AM38" i="6"/>
  <c r="BE36" i="6"/>
  <c r="U36" i="6"/>
  <c r="N36" i="6"/>
  <c r="BB24" i="6"/>
  <c r="AT24" i="6"/>
  <c r="AM24" i="6"/>
  <c r="AF24" i="6"/>
  <c r="Y24" i="6"/>
  <c r="R24" i="6"/>
  <c r="K24" i="6"/>
  <c r="D24" i="6"/>
  <c r="BF11" i="6"/>
  <c r="AO11" i="6"/>
  <c r="U11" i="6"/>
  <c r="C11" i="6"/>
  <c r="C11" i="5" l="1"/>
  <c r="U11" i="5"/>
  <c r="AO11" i="5"/>
  <c r="BF11" i="5"/>
  <c r="D24" i="5"/>
  <c r="K24" i="5"/>
  <c r="R24" i="5"/>
  <c r="Y24" i="5"/>
  <c r="AF24" i="5"/>
  <c r="AM24" i="5"/>
  <c r="AT24" i="5"/>
  <c r="BB24" i="5"/>
  <c r="N36" i="5"/>
  <c r="U36" i="5"/>
  <c r="BE36" i="5"/>
  <c r="AM38" i="5"/>
  <c r="AU38" i="5"/>
  <c r="BE39" i="5"/>
  <c r="BI39" i="5"/>
  <c r="BM39" i="5"/>
  <c r="AM42" i="5"/>
  <c r="AM43" i="5"/>
  <c r="N44" i="5"/>
  <c r="AM44" i="5"/>
  <c r="AM45" i="5"/>
  <c r="AM46" i="5"/>
  <c r="AM47" i="5"/>
  <c r="AM48" i="5"/>
  <c r="N52" i="5"/>
  <c r="U52" i="5"/>
  <c r="AM52" i="5"/>
  <c r="N63" i="5"/>
  <c r="U63" i="5"/>
  <c r="BE63" i="5"/>
  <c r="AM66" i="5"/>
  <c r="AU66" i="5"/>
  <c r="BE66" i="5"/>
  <c r="BI66" i="5"/>
  <c r="BM66" i="5"/>
  <c r="N69" i="5"/>
  <c r="N75" i="5"/>
  <c r="U75" i="5"/>
  <c r="AM75" i="5"/>
  <c r="N87" i="5"/>
  <c r="AM87" i="5"/>
  <c r="BE87" i="5"/>
  <c r="U89" i="5"/>
  <c r="AC89" i="5"/>
  <c r="BE90" i="5"/>
  <c r="BI90" i="5"/>
  <c r="BM90" i="5"/>
  <c r="N93" i="5"/>
  <c r="U94" i="5"/>
  <c r="AC94" i="5"/>
  <c r="N99" i="5"/>
  <c r="U99" i="5"/>
  <c r="AM99" i="5"/>
  <c r="N111" i="5"/>
  <c r="AM111" i="5"/>
  <c r="BE111" i="5"/>
  <c r="U113" i="5"/>
  <c r="BE114" i="5"/>
  <c r="BI114" i="5"/>
  <c r="BM114" i="5"/>
  <c r="N117" i="5"/>
  <c r="U118" i="5"/>
  <c r="N123" i="5"/>
  <c r="U123" i="5"/>
  <c r="AM123" i="5"/>
  <c r="N135" i="5"/>
  <c r="AM135" i="5"/>
  <c r="BE135" i="5"/>
  <c r="U137" i="5"/>
  <c r="AC137" i="5"/>
  <c r="BE138" i="5"/>
  <c r="BI138" i="5"/>
  <c r="BM138" i="5"/>
  <c r="N141" i="5"/>
  <c r="U142" i="5"/>
  <c r="AC142" i="5"/>
  <c r="N147" i="5"/>
  <c r="U147" i="5"/>
  <c r="AM147" i="5"/>
  <c r="N159" i="5"/>
  <c r="U159" i="5"/>
  <c r="AM159" i="5"/>
  <c r="AM162" i="5"/>
  <c r="AQ162" i="5"/>
  <c r="AU162" i="5"/>
  <c r="N165" i="5"/>
  <c r="N171" i="5"/>
  <c r="U171" i="5"/>
  <c r="AM171" i="5"/>
  <c r="N183" i="5"/>
  <c r="U183" i="5"/>
  <c r="BE183" i="5"/>
  <c r="AM186" i="5"/>
  <c r="AU186" i="5"/>
  <c r="BE186" i="5"/>
  <c r="BI186" i="5"/>
  <c r="BM186" i="5"/>
  <c r="N189" i="5"/>
  <c r="N195" i="5"/>
  <c r="U195" i="5"/>
  <c r="AM195" i="5"/>
  <c r="N207" i="5"/>
  <c r="U207" i="5"/>
  <c r="AN207" i="5"/>
  <c r="BE207" i="5"/>
  <c r="BE210" i="5"/>
  <c r="BI210" i="5"/>
  <c r="BM210" i="5"/>
  <c r="N213" i="5"/>
  <c r="N219" i="5"/>
  <c r="U219" i="5"/>
  <c r="AM219" i="5"/>
  <c r="N231" i="5"/>
  <c r="U231" i="5"/>
  <c r="AQ231" i="5"/>
  <c r="AY231" i="5"/>
  <c r="BE231" i="5"/>
  <c r="AQ233" i="5"/>
  <c r="BE234" i="5"/>
  <c r="BI234" i="5"/>
  <c r="BM234" i="5"/>
  <c r="AQ235" i="5"/>
  <c r="AY236" i="5"/>
  <c r="N237" i="5"/>
  <c r="AQ237" i="5"/>
  <c r="AQ239" i="5"/>
  <c r="N243" i="5"/>
  <c r="U243" i="5"/>
  <c r="AM243" i="5"/>
  <c r="N254" i="5"/>
  <c r="U254" i="5"/>
  <c r="BE254" i="5"/>
  <c r="AM256" i="5"/>
  <c r="AU256" i="5"/>
  <c r="BE257" i="5"/>
  <c r="BI257" i="5"/>
  <c r="BM257" i="5"/>
  <c r="N260" i="5"/>
  <c r="N266" i="5"/>
  <c r="U266" i="5"/>
  <c r="AM266" i="5"/>
  <c r="D279" i="5"/>
  <c r="D279" i="4" l="1"/>
  <c r="AM266" i="4"/>
  <c r="U266" i="4"/>
  <c r="N266" i="4"/>
  <c r="N260" i="4"/>
  <c r="BM257" i="4"/>
  <c r="BI257" i="4"/>
  <c r="BE257" i="4"/>
  <c r="AU256" i="4"/>
  <c r="AM256" i="4"/>
  <c r="BE254" i="4"/>
  <c r="U254" i="4"/>
  <c r="N254" i="4"/>
  <c r="AM243" i="4"/>
  <c r="U243" i="4"/>
  <c r="N243" i="4"/>
  <c r="AQ239" i="4"/>
  <c r="AQ237" i="4"/>
  <c r="N237" i="4"/>
  <c r="AY236" i="4"/>
  <c r="AQ235" i="4"/>
  <c r="BM234" i="4"/>
  <c r="BI234" i="4"/>
  <c r="BE234" i="4"/>
  <c r="AQ233" i="4"/>
  <c r="BE231" i="4"/>
  <c r="AY231" i="4"/>
  <c r="AQ231" i="4"/>
  <c r="U231" i="4"/>
  <c r="N231" i="4"/>
  <c r="AM219" i="4"/>
  <c r="U219" i="4"/>
  <c r="N219" i="4"/>
  <c r="N213" i="4"/>
  <c r="BM210" i="4"/>
  <c r="BI210" i="4"/>
  <c r="BE210" i="4"/>
  <c r="BE207" i="4"/>
  <c r="AN207" i="4"/>
  <c r="U207" i="4"/>
  <c r="N207" i="4"/>
  <c r="AM195" i="4"/>
  <c r="U195" i="4"/>
  <c r="N195" i="4"/>
  <c r="N189" i="4"/>
  <c r="BM186" i="4"/>
  <c r="BI186" i="4"/>
  <c r="BE186" i="4"/>
  <c r="AU186" i="4"/>
  <c r="AM186" i="4"/>
  <c r="BE183" i="4"/>
  <c r="U183" i="4"/>
  <c r="N183" i="4"/>
  <c r="AM171" i="4"/>
  <c r="U171" i="4"/>
  <c r="N171" i="4"/>
  <c r="N165" i="4"/>
  <c r="AU162" i="4"/>
  <c r="AQ162" i="4"/>
  <c r="AM162" i="4"/>
  <c r="AM159" i="4"/>
  <c r="U159" i="4"/>
  <c r="N159" i="4"/>
  <c r="AM147" i="4"/>
  <c r="U147" i="4"/>
  <c r="N147" i="4"/>
  <c r="AC142" i="4"/>
  <c r="U142" i="4"/>
  <c r="N141" i="4"/>
  <c r="BM138" i="4"/>
  <c r="BI138" i="4"/>
  <c r="BE138" i="4"/>
  <c r="AC137" i="4"/>
  <c r="U137" i="4"/>
  <c r="BE135" i="4"/>
  <c r="AM135" i="4"/>
  <c r="N135" i="4"/>
  <c r="AM123" i="4"/>
  <c r="U123" i="4"/>
  <c r="N123" i="4"/>
  <c r="U118" i="4"/>
  <c r="N117" i="4"/>
  <c r="BM114" i="4"/>
  <c r="BI114" i="4"/>
  <c r="BE114" i="4"/>
  <c r="U113" i="4"/>
  <c r="BE111" i="4"/>
  <c r="AM111" i="4"/>
  <c r="N111" i="4"/>
  <c r="AM99" i="4"/>
  <c r="U99" i="4"/>
  <c r="N99" i="4"/>
  <c r="AC94" i="4"/>
  <c r="U94" i="4"/>
  <c r="N93" i="4"/>
  <c r="BM90" i="4"/>
  <c r="BI90" i="4"/>
  <c r="BE90" i="4"/>
  <c r="AC89" i="4"/>
  <c r="U89" i="4"/>
  <c r="BE87" i="4"/>
  <c r="AM87" i="4"/>
  <c r="N87" i="4"/>
  <c r="AM75" i="4"/>
  <c r="U75" i="4"/>
  <c r="N75" i="4"/>
  <c r="N69" i="4"/>
  <c r="BM66" i="4"/>
  <c r="BI66" i="4"/>
  <c r="BE66" i="4"/>
  <c r="AU66" i="4"/>
  <c r="AM66" i="4"/>
  <c r="BE63" i="4"/>
  <c r="U63" i="4"/>
  <c r="N63" i="4"/>
  <c r="AM52" i="4"/>
  <c r="U52" i="4"/>
  <c r="N52" i="4"/>
  <c r="AM48" i="4"/>
  <c r="AM47" i="4"/>
  <c r="AM46" i="4"/>
  <c r="AM45" i="4"/>
  <c r="AM44" i="4"/>
  <c r="N44" i="4"/>
  <c r="AM43" i="4"/>
  <c r="AM42" i="4"/>
  <c r="BM39" i="4"/>
  <c r="BI39" i="4"/>
  <c r="BE39" i="4"/>
  <c r="AU38" i="4"/>
  <c r="AM38" i="4"/>
  <c r="BE36" i="4"/>
  <c r="U36" i="4"/>
  <c r="N36" i="4"/>
  <c r="BB24" i="4"/>
  <c r="AT24" i="4"/>
  <c r="AM24" i="4"/>
  <c r="AF24" i="4"/>
  <c r="Y24" i="4"/>
  <c r="R24" i="4"/>
  <c r="K24" i="4"/>
  <c r="D24" i="4"/>
  <c r="BF11" i="4"/>
  <c r="AO11" i="4"/>
  <c r="U11" i="4"/>
  <c r="C11" i="4"/>
  <c r="D279" i="3" l="1"/>
  <c r="AM266" i="3"/>
  <c r="U266" i="3"/>
  <c r="N266" i="3"/>
  <c r="N260" i="3"/>
  <c r="BM257" i="3"/>
  <c r="BI257" i="3"/>
  <c r="BE257" i="3"/>
  <c r="AU256" i="3"/>
  <c r="AM256" i="3"/>
  <c r="BE254" i="3"/>
  <c r="U254" i="3"/>
  <c r="N254" i="3"/>
  <c r="AM243" i="3"/>
  <c r="U243" i="3"/>
  <c r="N243" i="3"/>
  <c r="AQ239" i="3"/>
  <c r="AQ237" i="3"/>
  <c r="N237" i="3"/>
  <c r="AY236" i="3"/>
  <c r="AQ235" i="3"/>
  <c r="BM234" i="3"/>
  <c r="BI234" i="3"/>
  <c r="BE234" i="3"/>
  <c r="AQ233" i="3"/>
  <c r="BE231" i="3"/>
  <c r="AY231" i="3"/>
  <c r="AQ231" i="3"/>
  <c r="U231" i="3"/>
  <c r="N231" i="3"/>
  <c r="AM219" i="3"/>
  <c r="U219" i="3"/>
  <c r="N219" i="3"/>
  <c r="N213" i="3"/>
  <c r="BM210" i="3"/>
  <c r="BI210" i="3"/>
  <c r="BE210" i="3"/>
  <c r="BE207" i="3"/>
  <c r="AN207" i="3"/>
  <c r="U207" i="3"/>
  <c r="N207" i="3"/>
  <c r="AM195" i="3"/>
  <c r="U195" i="3"/>
  <c r="N195" i="3"/>
  <c r="N189" i="3"/>
  <c r="BM186" i="3"/>
  <c r="BI186" i="3"/>
  <c r="BE186" i="3"/>
  <c r="AU186" i="3"/>
  <c r="AM186" i="3"/>
  <c r="BE183" i="3"/>
  <c r="U183" i="3"/>
  <c r="N183" i="3"/>
  <c r="AM171" i="3"/>
  <c r="U171" i="3"/>
  <c r="N171" i="3"/>
  <c r="N165" i="3"/>
  <c r="AU162" i="3"/>
  <c r="AQ162" i="3"/>
  <c r="AM162" i="3"/>
  <c r="AM159" i="3"/>
  <c r="U159" i="3"/>
  <c r="N159" i="3"/>
  <c r="AM147" i="3"/>
  <c r="U147" i="3"/>
  <c r="N147" i="3"/>
  <c r="AC142" i="3"/>
  <c r="U142" i="3"/>
  <c r="N141" i="3"/>
  <c r="BM138" i="3"/>
  <c r="BI138" i="3"/>
  <c r="BE138" i="3"/>
  <c r="AC137" i="3"/>
  <c r="U137" i="3"/>
  <c r="BE135" i="3"/>
  <c r="AM135" i="3"/>
  <c r="N135" i="3"/>
  <c r="AM123" i="3"/>
  <c r="U123" i="3"/>
  <c r="N123" i="3"/>
  <c r="U118" i="3"/>
  <c r="N117" i="3"/>
  <c r="BM114" i="3"/>
  <c r="BI114" i="3"/>
  <c r="BE114" i="3"/>
  <c r="U113" i="3"/>
  <c r="BE111" i="3"/>
  <c r="AM111" i="3"/>
  <c r="N111" i="3"/>
  <c r="AM99" i="3"/>
  <c r="U99" i="3"/>
  <c r="N99" i="3"/>
  <c r="AC94" i="3"/>
  <c r="U94" i="3"/>
  <c r="N93" i="3"/>
  <c r="BM90" i="3"/>
  <c r="BI90" i="3"/>
  <c r="BE90" i="3"/>
  <c r="AC89" i="3"/>
  <c r="U89" i="3"/>
  <c r="BE87" i="3"/>
  <c r="AM87" i="3"/>
  <c r="N87" i="3"/>
  <c r="AM75" i="3"/>
  <c r="U75" i="3"/>
  <c r="N75" i="3"/>
  <c r="N69" i="3"/>
  <c r="BM66" i="3"/>
  <c r="BI66" i="3"/>
  <c r="BE66" i="3"/>
  <c r="AU66" i="3"/>
  <c r="AM66" i="3"/>
  <c r="BE63" i="3"/>
  <c r="U63" i="3"/>
  <c r="N63" i="3"/>
  <c r="AM52" i="3"/>
  <c r="U52" i="3"/>
  <c r="N52" i="3"/>
  <c r="AM48" i="3"/>
  <c r="AM47" i="3"/>
  <c r="AM46" i="3"/>
  <c r="AM45" i="3"/>
  <c r="AM44" i="3"/>
  <c r="N44" i="3"/>
  <c r="AM43" i="3"/>
  <c r="AM42" i="3"/>
  <c r="BM39" i="3"/>
  <c r="BI39" i="3"/>
  <c r="BE39" i="3"/>
  <c r="AU38" i="3"/>
  <c r="AM38" i="3"/>
  <c r="BE36" i="3"/>
  <c r="U36" i="3"/>
  <c r="N36" i="3"/>
  <c r="BB24" i="3"/>
  <c r="AT24" i="3"/>
  <c r="AM24" i="3"/>
  <c r="AF24" i="3"/>
  <c r="Y24" i="3"/>
  <c r="R24" i="3"/>
  <c r="K24" i="3"/>
  <c r="D24" i="3"/>
  <c r="BF11" i="3"/>
  <c r="AO11" i="3"/>
  <c r="U11" i="3"/>
  <c r="C11" i="3"/>
</calcChain>
</file>

<file path=xl/sharedStrings.xml><?xml version="1.0" encoding="utf-8"?>
<sst xmlns="http://schemas.openxmlformats.org/spreadsheetml/2006/main" count="2288" uniqueCount="74">
  <si>
    <t>団体名</t>
    <rPh sb="0" eb="3">
      <t>ダンタイメイ</t>
    </rPh>
    <phoneticPr fontId="9"/>
  </si>
  <si>
    <t>業種名</t>
    <rPh sb="0" eb="2">
      <t>ギョウシュ</t>
    </rPh>
    <rPh sb="2" eb="3">
      <t>メイ</t>
    </rPh>
    <phoneticPr fontId="9"/>
  </si>
  <si>
    <t>事業名</t>
    <rPh sb="0" eb="2">
      <t>ジギョウ</t>
    </rPh>
    <rPh sb="2" eb="3">
      <t>メイ</t>
    </rPh>
    <phoneticPr fontId="9"/>
  </si>
  <si>
    <t>施設名</t>
    <rPh sb="0" eb="2">
      <t>シセツ</t>
    </rPh>
    <rPh sb="2" eb="3">
      <t>メイ</t>
    </rPh>
    <phoneticPr fontId="9"/>
  </si>
  <si>
    <t>抜本的な改革の取組</t>
    <phoneticPr fontId="9"/>
  </si>
  <si>
    <t>事業廃止</t>
    <rPh sb="0" eb="2">
      <t>ジギョウ</t>
    </rPh>
    <rPh sb="2" eb="4">
      <t>ハイシ</t>
    </rPh>
    <phoneticPr fontId="9"/>
  </si>
  <si>
    <t>民営化・
民間譲渡</t>
    <rPh sb="0" eb="3">
      <t>ミンエイカ</t>
    </rPh>
    <rPh sb="5" eb="7">
      <t>ミンカン</t>
    </rPh>
    <rPh sb="7" eb="9">
      <t>ジョウト</t>
    </rPh>
    <phoneticPr fontId="9"/>
  </si>
  <si>
    <t>広域化等</t>
    <rPh sb="0" eb="3">
      <t>コウイキカ</t>
    </rPh>
    <rPh sb="3" eb="4">
      <t>トウ</t>
    </rPh>
    <phoneticPr fontId="9"/>
  </si>
  <si>
    <t>民間活用</t>
    <rPh sb="0" eb="2">
      <t>ミンカン</t>
    </rPh>
    <rPh sb="2" eb="4">
      <t>カツヨウ</t>
    </rPh>
    <phoneticPr fontId="9"/>
  </si>
  <si>
    <t>現行の経営
体制を継続</t>
    <rPh sb="0" eb="2">
      <t>ゲンコウ</t>
    </rPh>
    <rPh sb="3" eb="5">
      <t>ケイエイ</t>
    </rPh>
    <rPh sb="6" eb="8">
      <t>タイセイ</t>
    </rPh>
    <rPh sb="9" eb="11">
      <t>ケイゾク</t>
    </rPh>
    <phoneticPr fontId="9"/>
  </si>
  <si>
    <t>指定管理者
制度</t>
    <rPh sb="0" eb="2">
      <t>シテイ</t>
    </rPh>
    <rPh sb="2" eb="5">
      <t>カンリシャ</t>
    </rPh>
    <rPh sb="6" eb="8">
      <t>セイド</t>
    </rPh>
    <phoneticPr fontId="9"/>
  </si>
  <si>
    <t>包括的
民間委託</t>
    <rPh sb="0" eb="3">
      <t>ホウカツテキ</t>
    </rPh>
    <rPh sb="4" eb="6">
      <t>ミンカン</t>
    </rPh>
    <rPh sb="6" eb="8">
      <t>イタク</t>
    </rPh>
    <phoneticPr fontId="9"/>
  </si>
  <si>
    <t>PPP/PFI方式
の活用</t>
    <rPh sb="7" eb="9">
      <t>ホウシキ</t>
    </rPh>
    <rPh sb="11" eb="13">
      <t>カツヨウ</t>
    </rPh>
    <phoneticPr fontId="9"/>
  </si>
  <si>
    <t>地方独立行政法人への移行</t>
    <rPh sb="0" eb="2">
      <t>チホウ</t>
    </rPh>
    <rPh sb="2" eb="4">
      <t>ドクリツ</t>
    </rPh>
    <rPh sb="4" eb="6">
      <t>ギョウセイ</t>
    </rPh>
    <rPh sb="6" eb="8">
      <t>ホウジン</t>
    </rPh>
    <rPh sb="10" eb="12">
      <t>イコウ</t>
    </rPh>
    <phoneticPr fontId="9"/>
  </si>
  <si>
    <t>取組事項</t>
    <rPh sb="0" eb="2">
      <t>トリクミ</t>
    </rPh>
    <rPh sb="2" eb="4">
      <t>ジコウ</t>
    </rPh>
    <phoneticPr fontId="9"/>
  </si>
  <si>
    <t>（取組の概要及び効果）</t>
    <rPh sb="1" eb="2">
      <t>ト</t>
    </rPh>
    <rPh sb="2" eb="3">
      <t>ク</t>
    </rPh>
    <rPh sb="4" eb="6">
      <t>ガイヨウ</t>
    </rPh>
    <rPh sb="6" eb="7">
      <t>オヨ</t>
    </rPh>
    <rPh sb="8" eb="10">
      <t>コウカ</t>
    </rPh>
    <phoneticPr fontId="9"/>
  </si>
  <si>
    <t>（全部と一部の別）</t>
    <rPh sb="1" eb="3">
      <t>ゼンブ</t>
    </rPh>
    <rPh sb="4" eb="6">
      <t>イチブ</t>
    </rPh>
    <rPh sb="7" eb="8">
      <t>ベツ</t>
    </rPh>
    <phoneticPr fontId="9"/>
  </si>
  <si>
    <t>（実施（予定）時期）</t>
    <rPh sb="1" eb="3">
      <t>ジッシ</t>
    </rPh>
    <rPh sb="4" eb="6">
      <t>ヨテイ</t>
    </rPh>
    <rPh sb="7" eb="9">
      <t>ジキ</t>
    </rPh>
    <phoneticPr fontId="9"/>
  </si>
  <si>
    <t>実施済</t>
    <rPh sb="0" eb="2">
      <t>ジッシ</t>
    </rPh>
    <rPh sb="2" eb="3">
      <t>ズ</t>
    </rPh>
    <phoneticPr fontId="9"/>
  </si>
  <si>
    <t>全部廃止</t>
    <rPh sb="0" eb="2">
      <t>ゼンブ</t>
    </rPh>
    <rPh sb="2" eb="4">
      <t>ハイシ</t>
    </rPh>
    <phoneticPr fontId="9"/>
  </si>
  <si>
    <t>一部廃止</t>
    <rPh sb="0" eb="2">
      <t>イチブ</t>
    </rPh>
    <rPh sb="2" eb="4">
      <t>ハイシ</t>
    </rPh>
    <phoneticPr fontId="9"/>
  </si>
  <si>
    <t>①償還終了による廃止</t>
    <rPh sb="1" eb="3">
      <t>ショウカン</t>
    </rPh>
    <rPh sb="3" eb="5">
      <t>シュウリョウ</t>
    </rPh>
    <rPh sb="8" eb="10">
      <t>ハイシ</t>
    </rPh>
    <phoneticPr fontId="9"/>
  </si>
  <si>
    <t>②一般会計化</t>
    <rPh sb="1" eb="3">
      <t>イッパン</t>
    </rPh>
    <rPh sb="3" eb="6">
      <t>カイケイカ</t>
    </rPh>
    <phoneticPr fontId="9"/>
  </si>
  <si>
    <t>年</t>
    <rPh sb="0" eb="1">
      <t>ネン</t>
    </rPh>
    <phoneticPr fontId="9"/>
  </si>
  <si>
    <t>月</t>
    <rPh sb="0" eb="1">
      <t>ガツ</t>
    </rPh>
    <phoneticPr fontId="9"/>
  </si>
  <si>
    <t>日</t>
    <rPh sb="0" eb="1">
      <t>ニチ</t>
    </rPh>
    <phoneticPr fontId="9"/>
  </si>
  <si>
    <t>実施予定</t>
    <rPh sb="0" eb="2">
      <t>ジッシ</t>
    </rPh>
    <rPh sb="2" eb="4">
      <t>ヨテイ</t>
    </rPh>
    <phoneticPr fontId="9"/>
  </si>
  <si>
    <t>③診療所への移行</t>
    <rPh sb="1" eb="4">
      <t>シンリョウジョ</t>
    </rPh>
    <rPh sb="6" eb="8">
      <t>イコウ</t>
    </rPh>
    <phoneticPr fontId="9"/>
  </si>
  <si>
    <t>④飲料用水供給施設化</t>
    <rPh sb="1" eb="3">
      <t>インリョウ</t>
    </rPh>
    <rPh sb="3" eb="5">
      <t>ヨウスイ</t>
    </rPh>
    <rPh sb="5" eb="7">
      <t>キョウキュウ</t>
    </rPh>
    <rPh sb="7" eb="10">
      <t>シセツカ</t>
    </rPh>
    <phoneticPr fontId="9"/>
  </si>
  <si>
    <t>⑤民営化・民間譲渡による廃止</t>
    <rPh sb="1" eb="4">
      <t>ミンエイカ</t>
    </rPh>
    <rPh sb="5" eb="7">
      <t>ミンカン</t>
    </rPh>
    <rPh sb="7" eb="9">
      <t>ジョウト</t>
    </rPh>
    <rPh sb="12" eb="14">
      <t>ハイシ</t>
    </rPh>
    <phoneticPr fontId="9"/>
  </si>
  <si>
    <t>⑥広域化による廃止</t>
    <rPh sb="1" eb="4">
      <t>コウイキカ</t>
    </rPh>
    <rPh sb="7" eb="9">
      <t>ハイシ</t>
    </rPh>
    <phoneticPr fontId="9"/>
  </si>
  <si>
    <t>⑦その他</t>
    <rPh sb="3" eb="4">
      <t>タ</t>
    </rPh>
    <phoneticPr fontId="9"/>
  </si>
  <si>
    <t>（取組の概要）</t>
    <rPh sb="1" eb="2">
      <t>ト</t>
    </rPh>
    <rPh sb="2" eb="3">
      <t>ク</t>
    </rPh>
    <rPh sb="4" eb="6">
      <t>ガイヨウ</t>
    </rPh>
    <phoneticPr fontId="9"/>
  </si>
  <si>
    <t>（検討状況・課題）</t>
    <rPh sb="1" eb="3">
      <t>ケントウ</t>
    </rPh>
    <rPh sb="3" eb="5">
      <t>ジョウキョウ</t>
    </rPh>
    <rPh sb="6" eb="8">
      <t>カダイ</t>
    </rPh>
    <phoneticPr fontId="9"/>
  </si>
  <si>
    <t>検討中</t>
    <rPh sb="0" eb="3">
      <t>ケントウチュウ</t>
    </rPh>
    <phoneticPr fontId="9"/>
  </si>
  <si>
    <t>民営化・民間譲渡</t>
    <rPh sb="0" eb="3">
      <t>ミンエイカ</t>
    </rPh>
    <rPh sb="4" eb="6">
      <t>ミンカン</t>
    </rPh>
    <rPh sb="6" eb="8">
      <t>ジョウト</t>
    </rPh>
    <phoneticPr fontId="9"/>
  </si>
  <si>
    <t>（取組の概要及び効果）</t>
    <rPh sb="1" eb="2">
      <t>ト</t>
    </rPh>
    <rPh sb="2" eb="3">
      <t>ク</t>
    </rPh>
    <rPh sb="4" eb="6">
      <t>ガイヨウ</t>
    </rPh>
    <phoneticPr fontId="9"/>
  </si>
  <si>
    <t>全部民営化・
全部民間譲渡</t>
    <rPh sb="0" eb="2">
      <t>ゼンブ</t>
    </rPh>
    <rPh sb="2" eb="5">
      <t>ミンエイカ</t>
    </rPh>
    <rPh sb="7" eb="9">
      <t>ゼンブ</t>
    </rPh>
    <rPh sb="9" eb="11">
      <t>ミンカン</t>
    </rPh>
    <rPh sb="11" eb="13">
      <t>ジョウト</t>
    </rPh>
    <phoneticPr fontId="9"/>
  </si>
  <si>
    <t>一部民営化・
一部民間譲渡</t>
    <rPh sb="0" eb="2">
      <t>イチブ</t>
    </rPh>
    <rPh sb="2" eb="5">
      <t>ミンエイカ</t>
    </rPh>
    <rPh sb="7" eb="8">
      <t>イチ</t>
    </rPh>
    <rPh sb="8" eb="9">
      <t>ブ</t>
    </rPh>
    <rPh sb="9" eb="11">
      <t>ミンカン</t>
    </rPh>
    <rPh sb="11" eb="13">
      <t>ジョウト</t>
    </rPh>
    <phoneticPr fontId="9"/>
  </si>
  <si>
    <t>（水道事業）広域化等</t>
    <rPh sb="1" eb="3">
      <t>スイドウ</t>
    </rPh>
    <rPh sb="3" eb="5">
      <t>ジギョウ</t>
    </rPh>
    <phoneticPr fontId="9"/>
  </si>
  <si>
    <t>（実施類型）</t>
    <rPh sb="1" eb="3">
      <t>ジッシ</t>
    </rPh>
    <rPh sb="3" eb="5">
      <t>ルイケイ</t>
    </rPh>
    <phoneticPr fontId="9"/>
  </si>
  <si>
    <t>経営統合</t>
    <rPh sb="0" eb="2">
      <t>ケイエイ</t>
    </rPh>
    <rPh sb="2" eb="4">
      <t>トウゴウ</t>
    </rPh>
    <phoneticPr fontId="9"/>
  </si>
  <si>
    <t>施設の
共同設置・利用</t>
    <rPh sb="0" eb="2">
      <t>シセツ</t>
    </rPh>
    <rPh sb="4" eb="6">
      <t>キョウドウ</t>
    </rPh>
    <rPh sb="6" eb="8">
      <t>セッチ</t>
    </rPh>
    <rPh sb="9" eb="11">
      <t>リヨウ</t>
    </rPh>
    <phoneticPr fontId="9"/>
  </si>
  <si>
    <t>施設管理の
共同化</t>
    <rPh sb="0" eb="2">
      <t>シセツ</t>
    </rPh>
    <rPh sb="2" eb="4">
      <t>カンリ</t>
    </rPh>
    <rPh sb="6" eb="9">
      <t>キョウドウカ</t>
    </rPh>
    <phoneticPr fontId="9"/>
  </si>
  <si>
    <t>管理の一体化</t>
    <rPh sb="0" eb="2">
      <t>カンリ</t>
    </rPh>
    <rPh sb="3" eb="6">
      <t>イッタイカ</t>
    </rPh>
    <phoneticPr fontId="9"/>
  </si>
  <si>
    <t>（簡易水道事業）広域化等</t>
    <rPh sb="1" eb="3">
      <t>カンイ</t>
    </rPh>
    <rPh sb="3" eb="5">
      <t>スイドウ</t>
    </rPh>
    <rPh sb="5" eb="7">
      <t>ジギョウ</t>
    </rPh>
    <phoneticPr fontId="9"/>
  </si>
  <si>
    <t>簡易水道事業統合</t>
    <rPh sb="0" eb="2">
      <t>カンイ</t>
    </rPh>
    <rPh sb="2" eb="4">
      <t>スイドウ</t>
    </rPh>
    <rPh sb="4" eb="6">
      <t>ジギョウ</t>
    </rPh>
    <rPh sb="6" eb="8">
      <t>トウゴウ</t>
    </rPh>
    <phoneticPr fontId="9"/>
  </si>
  <si>
    <t>簡易水道事業統合以外</t>
    <rPh sb="0" eb="2">
      <t>カンイ</t>
    </rPh>
    <rPh sb="2" eb="4">
      <t>スイドウ</t>
    </rPh>
    <rPh sb="4" eb="6">
      <t>ジギョウ</t>
    </rPh>
    <rPh sb="6" eb="8">
      <t>トウゴウ</t>
    </rPh>
    <rPh sb="8" eb="10">
      <t>イガイ</t>
    </rPh>
    <phoneticPr fontId="9"/>
  </si>
  <si>
    <t>（下水道事業）広域化等</t>
    <rPh sb="1" eb="2">
      <t>シタ</t>
    </rPh>
    <rPh sb="2" eb="4">
      <t>スイドウ</t>
    </rPh>
    <rPh sb="4" eb="6">
      <t>ジギョウ</t>
    </rPh>
    <phoneticPr fontId="9"/>
  </si>
  <si>
    <t>汚水処理施設の
統廃合</t>
    <rPh sb="0" eb="2">
      <t>オスイ</t>
    </rPh>
    <rPh sb="2" eb="4">
      <t>ショリ</t>
    </rPh>
    <rPh sb="4" eb="6">
      <t>シセツ</t>
    </rPh>
    <rPh sb="8" eb="11">
      <t>トウハイゴウ</t>
    </rPh>
    <phoneticPr fontId="9"/>
  </si>
  <si>
    <t>汚泥処理の
共同化</t>
    <rPh sb="0" eb="2">
      <t>オデイ</t>
    </rPh>
    <rPh sb="2" eb="4">
      <t>ショリ</t>
    </rPh>
    <rPh sb="6" eb="9">
      <t>キョウドウカ</t>
    </rPh>
    <phoneticPr fontId="9"/>
  </si>
  <si>
    <t>維持管理・事務
の共同化</t>
    <rPh sb="0" eb="2">
      <t>イジ</t>
    </rPh>
    <rPh sb="2" eb="4">
      <t>カンリ</t>
    </rPh>
    <rPh sb="5" eb="7">
      <t>ジム</t>
    </rPh>
    <rPh sb="9" eb="12">
      <t>キョウドウカ</t>
    </rPh>
    <phoneticPr fontId="9"/>
  </si>
  <si>
    <r>
      <rPr>
        <b/>
        <sz val="12"/>
        <color theme="1"/>
        <rFont val="游ゴシック"/>
        <family val="3"/>
        <charset val="128"/>
        <scheme val="minor"/>
      </rPr>
      <t>最適な汚水処理
施設の選択</t>
    </r>
    <r>
      <rPr>
        <sz val="10"/>
        <color theme="1"/>
        <rFont val="游ゴシック"/>
        <family val="3"/>
        <charset val="128"/>
        <scheme val="minor"/>
      </rPr>
      <t>（最適化）</t>
    </r>
    <rPh sb="0" eb="2">
      <t>サイテキ</t>
    </rPh>
    <rPh sb="3" eb="5">
      <t>オスイ</t>
    </rPh>
    <rPh sb="5" eb="7">
      <t>ショリ</t>
    </rPh>
    <rPh sb="8" eb="10">
      <t>シセツ</t>
    </rPh>
    <rPh sb="11" eb="13">
      <t>センタク</t>
    </rPh>
    <rPh sb="14" eb="17">
      <t>サイテキカ</t>
    </rPh>
    <phoneticPr fontId="9"/>
  </si>
  <si>
    <t>（水道・簡易水道・下水道事業以外）広域化等</t>
    <rPh sb="0" eb="1">
      <t>スイドウ</t>
    </rPh>
    <rPh sb="1" eb="3">
      <t>スイドウ</t>
    </rPh>
    <rPh sb="4" eb="6">
      <t>カンイ</t>
    </rPh>
    <rPh sb="6" eb="8">
      <t>スイドウ</t>
    </rPh>
    <rPh sb="9" eb="12">
      <t>ゲスイドウ</t>
    </rPh>
    <rPh sb="12" eb="14">
      <t>ジギョウ</t>
    </rPh>
    <rPh sb="14" eb="16">
      <t>イガイ</t>
    </rPh>
    <rPh sb="17" eb="20">
      <t>コウイキカ</t>
    </rPh>
    <rPh sb="20" eb="21">
      <t>トウ</t>
    </rPh>
    <phoneticPr fontId="9"/>
  </si>
  <si>
    <t>民間活用（指定管理者制度）</t>
    <rPh sb="0" eb="2">
      <t>ミンカン</t>
    </rPh>
    <rPh sb="2" eb="4">
      <t>カツヨウ</t>
    </rPh>
    <rPh sb="5" eb="7">
      <t>シテイ</t>
    </rPh>
    <rPh sb="7" eb="10">
      <t>カンリシャ</t>
    </rPh>
    <rPh sb="10" eb="12">
      <t>セイド</t>
    </rPh>
    <phoneticPr fontId="9"/>
  </si>
  <si>
    <t>（方式）</t>
    <rPh sb="1" eb="3">
      <t>ホウシキ</t>
    </rPh>
    <phoneticPr fontId="9"/>
  </si>
  <si>
    <t>代行制</t>
    <rPh sb="0" eb="3">
      <t>ダイコウセイ</t>
    </rPh>
    <phoneticPr fontId="9"/>
  </si>
  <si>
    <t>利用料金制</t>
    <rPh sb="0" eb="2">
      <t>リヨウ</t>
    </rPh>
    <rPh sb="2" eb="5">
      <t>リョウキンセイ</t>
    </rPh>
    <phoneticPr fontId="9"/>
  </si>
  <si>
    <t>民間活用（包括的民間委託）</t>
    <rPh sb="0" eb="2">
      <t>ミンカン</t>
    </rPh>
    <rPh sb="2" eb="4">
      <t>カツヨウ</t>
    </rPh>
    <rPh sb="5" eb="8">
      <t>ホウカツテキ</t>
    </rPh>
    <rPh sb="8" eb="10">
      <t>ミンカン</t>
    </rPh>
    <rPh sb="10" eb="12">
      <t>イタク</t>
    </rPh>
    <phoneticPr fontId="9"/>
  </si>
  <si>
    <t>（（実施済のみ）性能発注内容）</t>
    <rPh sb="2" eb="4">
      <t>ジッシ</t>
    </rPh>
    <rPh sb="4" eb="5">
      <t>ズ</t>
    </rPh>
    <rPh sb="8" eb="10">
      <t>セイノウ</t>
    </rPh>
    <rPh sb="10" eb="12">
      <t>ハッチュウ</t>
    </rPh>
    <rPh sb="12" eb="14">
      <t>ナイヨウ</t>
    </rPh>
    <phoneticPr fontId="9"/>
  </si>
  <si>
    <t>民間活用（ＰＰＰ/ＰＦＩ方式の活用）</t>
    <rPh sb="0" eb="2">
      <t>ミンカン</t>
    </rPh>
    <rPh sb="2" eb="4">
      <t>カツヨウ</t>
    </rPh>
    <rPh sb="12" eb="14">
      <t>ホウシキ</t>
    </rPh>
    <rPh sb="15" eb="17">
      <t>カツヨウ</t>
    </rPh>
    <phoneticPr fontId="9"/>
  </si>
  <si>
    <t>（導入・契約（予定）時期）</t>
    <rPh sb="1" eb="3">
      <t>ドウニュウ</t>
    </rPh>
    <rPh sb="4" eb="6">
      <t>ケイヤク</t>
    </rPh>
    <rPh sb="7" eb="9">
      <t>ヨテイ</t>
    </rPh>
    <rPh sb="10" eb="12">
      <t>ジキ</t>
    </rPh>
    <phoneticPr fontId="9"/>
  </si>
  <si>
    <t>BTO方式</t>
    <rPh sb="3" eb="5">
      <t>ホウシキ</t>
    </rPh>
    <phoneticPr fontId="9"/>
  </si>
  <si>
    <t>公共施設等運営権方式（コンセッション方式）</t>
    <rPh sb="0" eb="2">
      <t>コウキョウ</t>
    </rPh>
    <rPh sb="2" eb="4">
      <t>シセツ</t>
    </rPh>
    <rPh sb="4" eb="5">
      <t>トウ</t>
    </rPh>
    <rPh sb="5" eb="8">
      <t>ウンエイケン</t>
    </rPh>
    <rPh sb="8" eb="10">
      <t>ホウシキ</t>
    </rPh>
    <rPh sb="18" eb="20">
      <t>ホウシキ</t>
    </rPh>
    <phoneticPr fontId="9"/>
  </si>
  <si>
    <t>BOT方式</t>
    <rPh sb="3" eb="5">
      <t>ホウシキ</t>
    </rPh>
    <phoneticPr fontId="9"/>
  </si>
  <si>
    <t>BOO方式</t>
    <rPh sb="3" eb="5">
      <t>ホウシキ</t>
    </rPh>
    <phoneticPr fontId="9"/>
  </si>
  <si>
    <t>その他</t>
    <rPh sb="2" eb="3">
      <t>タ</t>
    </rPh>
    <phoneticPr fontId="9"/>
  </si>
  <si>
    <t>DB方式</t>
    <rPh sb="2" eb="4">
      <t>ホウシキ</t>
    </rPh>
    <phoneticPr fontId="9"/>
  </si>
  <si>
    <t>DBO方式</t>
    <rPh sb="3" eb="5">
      <t>ホウシキ</t>
    </rPh>
    <phoneticPr fontId="9"/>
  </si>
  <si>
    <t>民間活用（地方独立行政法人への移行）</t>
    <rPh sb="0" eb="2">
      <t>ミンカン</t>
    </rPh>
    <rPh sb="2" eb="4">
      <t>カツヨウ</t>
    </rPh>
    <rPh sb="5" eb="7">
      <t>チホウ</t>
    </rPh>
    <rPh sb="7" eb="9">
      <t>ドクリツ</t>
    </rPh>
    <rPh sb="9" eb="11">
      <t>ギョウセイ</t>
    </rPh>
    <rPh sb="11" eb="13">
      <t>ホウジン</t>
    </rPh>
    <rPh sb="15" eb="17">
      <t>イコウ</t>
    </rPh>
    <phoneticPr fontId="9"/>
  </si>
  <si>
    <t>（公務員型と非公務員型の別）</t>
    <rPh sb="1" eb="5">
      <t>コウムインガタ</t>
    </rPh>
    <rPh sb="6" eb="7">
      <t>ヒ</t>
    </rPh>
    <rPh sb="7" eb="11">
      <t>コウムインガタ</t>
    </rPh>
    <rPh sb="12" eb="13">
      <t>ベツ</t>
    </rPh>
    <phoneticPr fontId="9"/>
  </si>
  <si>
    <t>公務員型</t>
    <rPh sb="0" eb="3">
      <t>コウムイン</t>
    </rPh>
    <rPh sb="3" eb="4">
      <t>ガタ</t>
    </rPh>
    <phoneticPr fontId="9"/>
  </si>
  <si>
    <t>非公務員型</t>
    <rPh sb="0" eb="1">
      <t>ヒ</t>
    </rPh>
    <rPh sb="1" eb="4">
      <t>コウムイン</t>
    </rPh>
    <rPh sb="4" eb="5">
      <t>ガタ</t>
    </rPh>
    <phoneticPr fontId="9"/>
  </si>
  <si>
    <t>抜本的な改革に取り組まず、現行の経営体制・手法を継続する理由及び現在の経営状況・経営戦略等における中長期的な将来見通しを踏まえた、今後の経営改革の方向性</t>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</si>
</sst>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x14ac:knownFonts="1">
    <font>
      <sz val="11"/>
      <color theme="1"/>
      <name val="游ゴシック"/>
      <family val="2"/>
      <scheme val="minor"/>
    </font>
    <font>
      <sz val="11"/>
      <color theme="1"/>
      <name val="游ゴシック"/>
      <family val="2"/>
      <charset val="128"/>
      <scheme val="minor"/>
    </font>
    <font>
      <sz val="6"/>
      <name val="游ゴシック"/>
      <family val="3"/>
      <charset val="128"/>
      <scheme val="minor"/>
    </font>
    <font>
      <sz val="8"/>
      <color theme="1"/>
      <name val="游ゴシック"/>
      <family val="2"/>
      <charset val="128"/>
      <scheme val="minor"/>
    </font>
    <font>
      <sz val="8"/>
      <color theme="1"/>
      <name val="游ゴシック"/>
      <family val="3"/>
      <charset val="128"/>
      <scheme val="minor"/>
    </font>
    <font>
      <b/>
      <sz val="24"/>
      <color theme="1"/>
      <name val="AR Pゴシック体M"/>
      <family val="3"/>
      <charset val="128"/>
    </font>
    <font>
      <b/>
      <sz val="20"/>
      <color theme="1"/>
      <name val="游ゴシック"/>
      <family val="3"/>
      <charset val="128"/>
      <scheme val="minor"/>
    </font>
    <font>
      <sz val="18"/>
      <color theme="1"/>
      <name val="游ゴシック"/>
      <family val="2"/>
      <charset val="128"/>
      <scheme val="minor"/>
    </font>
    <font>
      <sz val="22"/>
      <color theme="1"/>
      <name val="游ゴシック"/>
      <family val="2"/>
      <charset val="128"/>
      <scheme val="minor"/>
    </font>
    <font>
      <sz val="6"/>
      <name val="游ゴシック"/>
      <family val="2"/>
      <charset val="128"/>
      <scheme val="minor"/>
    </font>
    <font>
      <sz val="22"/>
      <color theme="1"/>
      <name val="游ゴシック"/>
      <family val="3"/>
      <charset val="128"/>
      <scheme val="minor"/>
    </font>
    <font>
      <sz val="18"/>
      <name val="游ゴシック"/>
      <family val="2"/>
      <charset val="128"/>
      <scheme val="minor"/>
    </font>
    <font>
      <sz val="11"/>
      <name val="游ゴシック"/>
      <family val="2"/>
      <charset val="128"/>
      <scheme val="minor"/>
    </font>
    <font>
      <b/>
      <sz val="18"/>
      <color theme="1"/>
      <name val="游ゴシック"/>
      <family val="3"/>
      <charset val="128"/>
      <scheme val="minor"/>
    </font>
    <font>
      <sz val="12"/>
      <color theme="1"/>
      <name val="游ゴシック"/>
      <family val="2"/>
      <charset val="128"/>
      <scheme val="minor"/>
    </font>
    <font>
      <sz val="24"/>
      <color theme="1"/>
      <name val="游ゴシック"/>
      <family val="3"/>
      <charset val="128"/>
      <scheme val="minor"/>
    </font>
    <font>
      <b/>
      <sz val="17"/>
      <color theme="1"/>
      <name val="游ゴシック"/>
      <family val="3"/>
      <charset val="128"/>
      <scheme val="minor"/>
    </font>
    <font>
      <sz val="12"/>
      <color theme="1"/>
      <name val="游ゴシック"/>
      <family val="3"/>
      <charset val="128"/>
      <scheme val="minor"/>
    </font>
    <font>
      <sz val="11"/>
      <color theme="1"/>
      <name val="游ゴシック"/>
      <family val="3"/>
      <charset val="128"/>
      <scheme val="minor"/>
    </font>
    <font>
      <sz val="20"/>
      <color theme="1"/>
      <name val="游ゴシック"/>
      <family val="3"/>
      <charset val="128"/>
      <scheme val="minor"/>
    </font>
    <font>
      <sz val="11"/>
      <color theme="1"/>
      <name val="ＭＳ Ｐゴシック"/>
      <family val="3"/>
      <charset val="128"/>
    </font>
    <font>
      <sz val="16"/>
      <color theme="1"/>
      <name val="游ゴシック"/>
      <family val="3"/>
      <charset val="128"/>
      <scheme val="minor"/>
    </font>
    <font>
      <b/>
      <sz val="16"/>
      <color theme="1"/>
      <name val="游ゴシック"/>
      <family val="3"/>
      <charset val="128"/>
      <scheme val="minor"/>
    </font>
    <font>
      <sz val="16"/>
      <color theme="1"/>
      <name val="游ゴシック"/>
      <family val="2"/>
      <charset val="128"/>
      <scheme val="minor"/>
    </font>
    <font>
      <sz val="28"/>
      <color theme="1"/>
      <name val="游ゴシック"/>
      <family val="3"/>
      <charset val="128"/>
      <scheme val="minor"/>
    </font>
    <font>
      <b/>
      <sz val="14"/>
      <color theme="1"/>
      <name val="游ゴシック"/>
      <family val="3"/>
      <charset val="128"/>
      <scheme val="minor"/>
    </font>
    <font>
      <b/>
      <sz val="12"/>
      <color theme="1"/>
      <name val="游ゴシック"/>
      <family val="3"/>
      <charset val="128"/>
      <scheme val="minor"/>
    </font>
    <font>
      <sz val="14"/>
      <color theme="1"/>
      <name val="游ゴシック"/>
      <family val="3"/>
      <charset val="128"/>
      <scheme val="minor"/>
    </font>
    <font>
      <b/>
      <sz val="10"/>
      <color theme="1"/>
      <name val="游ゴシック"/>
      <family val="3"/>
      <charset val="128"/>
      <scheme val="minor"/>
    </font>
    <font>
      <sz val="10"/>
      <color theme="1"/>
      <name val="游ゴシック"/>
      <family val="3"/>
      <charset val="128"/>
      <scheme val="minor"/>
    </font>
    <font>
      <b/>
      <sz val="11"/>
      <color theme="1"/>
      <name val="游ゴシック"/>
      <family val="3"/>
      <charset val="128"/>
      <scheme val="minor"/>
    </font>
    <font>
      <sz val="20"/>
      <name val="游ゴシック"/>
      <family val="2"/>
      <charset val="128"/>
      <scheme val="minor"/>
    </font>
    <font>
      <sz val="14"/>
      <color theme="1"/>
      <name val="游ゴシック"/>
      <family val="2"/>
      <charset val="128"/>
      <scheme val="minor"/>
    </font>
    <font>
      <sz val="10"/>
      <color theme="1"/>
      <name val="游ゴシック"/>
      <family val="2"/>
      <charset val="128"/>
      <scheme val="minor"/>
    </font>
    <font>
      <sz val="9"/>
      <color theme="1"/>
      <name val="游ゴシック"/>
      <family val="2"/>
      <charset val="128"/>
      <scheme val="minor"/>
    </font>
  </fonts>
  <fills count="5">
    <fill>
      <patternFill patternType="none"/>
    </fill>
    <fill>
      <patternFill patternType="gray125"/>
    </fill>
    <fill>
      <patternFill patternType="solid">
        <fgColor rgb="FFCCFFFF"/>
        <bgColor indexed="64"/>
      </patternFill>
    </fill>
    <fill>
      <patternFill patternType="solid">
        <fgColor theme="9" tint="0.39997558519241921"/>
        <bgColor indexed="64"/>
      </patternFill>
    </fill>
    <fill>
      <patternFill patternType="solid">
        <fgColor theme="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1" fillId="0" borderId="0">
      <alignment vertical="center"/>
    </xf>
  </cellStyleXfs>
  <cellXfs count="305">
    <xf numFmtId="0" fontId="0" fillId="0" borderId="0" xfId="0"/>
    <xf numFmtId="0" fontId="1" fillId="0" borderId="0" xfId="1">
      <alignment vertical="center"/>
    </xf>
    <xf numFmtId="0" fontId="3" fillId="0" borderId="0" xfId="1" applyFont="1" applyAlignment="1">
      <alignment horizontal="center" vertical="center"/>
    </xf>
    <xf numFmtId="0" fontId="4" fillId="0" borderId="0" xfId="1" applyFont="1" applyAlignment="1">
      <alignment horizontal="center" vertical="center"/>
    </xf>
    <xf numFmtId="0" fontId="5" fillId="0" borderId="0" xfId="1" applyFont="1">
      <alignment vertical="center"/>
    </xf>
    <xf numFmtId="0" fontId="6" fillId="0" borderId="0" xfId="1" applyFont="1" applyAlignment="1">
      <alignment horizontal="center" vertical="center"/>
    </xf>
    <xf numFmtId="0" fontId="7" fillId="0" borderId="0" xfId="1" applyFont="1">
      <alignment vertical="center"/>
    </xf>
    <xf numFmtId="0" fontId="7" fillId="0" borderId="0" xfId="1" applyFont="1" applyAlignment="1">
      <alignment horizontal="center" vertical="center"/>
    </xf>
    <xf numFmtId="0" fontId="8" fillId="0" borderId="0" xfId="1" applyFont="1" applyAlignment="1">
      <alignment vertical="center" shrinkToFit="1"/>
    </xf>
    <xf numFmtId="0" fontId="13" fillId="0" borderId="0" xfId="1" applyFont="1">
      <alignment vertical="center"/>
    </xf>
    <xf numFmtId="0" fontId="14" fillId="2" borderId="2" xfId="1" applyFont="1" applyFill="1" applyBorder="1" applyAlignment="1"/>
    <xf numFmtId="0" fontId="14" fillId="2" borderId="3" xfId="1" applyFont="1" applyFill="1" applyBorder="1" applyAlignment="1"/>
    <xf numFmtId="0" fontId="14" fillId="2" borderId="4" xfId="1" applyFont="1" applyFill="1" applyBorder="1" applyAlignment="1"/>
    <xf numFmtId="0" fontId="14" fillId="0" borderId="0" xfId="1" applyFont="1" applyAlignment="1"/>
    <xf numFmtId="0" fontId="14" fillId="2" borderId="5" xfId="1" applyFont="1" applyFill="1" applyBorder="1" applyAlignment="1"/>
    <xf numFmtId="0" fontId="14" fillId="2" borderId="0" xfId="1" applyFont="1" applyFill="1" applyAlignment="1"/>
    <xf numFmtId="0" fontId="14" fillId="2" borderId="6" xfId="1" applyFont="1" applyFill="1" applyBorder="1" applyAlignment="1"/>
    <xf numFmtId="0" fontId="15" fillId="2" borderId="0" xfId="1" applyFont="1" applyFill="1">
      <alignment vertical="center"/>
    </xf>
    <xf numFmtId="0" fontId="17" fillId="0" borderId="0" xfId="1" applyFont="1" applyAlignment="1"/>
    <xf numFmtId="0" fontId="18" fillId="2" borderId="0" xfId="1" applyFont="1" applyFill="1">
      <alignment vertical="center"/>
    </xf>
    <xf numFmtId="0" fontId="19" fillId="2" borderId="0" xfId="1" applyFont="1" applyFill="1">
      <alignment vertical="center"/>
    </xf>
    <xf numFmtId="0" fontId="17" fillId="2" borderId="7" xfId="1" applyFont="1" applyFill="1" applyBorder="1" applyAlignment="1"/>
    <xf numFmtId="0" fontId="17" fillId="2" borderId="8" xfId="1" applyFont="1" applyFill="1" applyBorder="1" applyAlignment="1"/>
    <xf numFmtId="0" fontId="14" fillId="2" borderId="8" xfId="1" applyFont="1" applyFill="1" applyBorder="1" applyAlignment="1"/>
    <xf numFmtId="0" fontId="14" fillId="2" borderId="9" xfId="1" applyFont="1" applyFill="1" applyBorder="1" applyAlignment="1"/>
    <xf numFmtId="0" fontId="18" fillId="0" borderId="0" xfId="1" applyFont="1">
      <alignment vertical="center"/>
    </xf>
    <xf numFmtId="0" fontId="17" fillId="0" borderId="0" xfId="1" applyFont="1">
      <alignment vertical="center"/>
    </xf>
    <xf numFmtId="0" fontId="18" fillId="2" borderId="2" xfId="1" applyFont="1" applyFill="1" applyBorder="1">
      <alignment vertical="center"/>
    </xf>
    <xf numFmtId="0" fontId="18" fillId="2" borderId="3" xfId="1" applyFont="1" applyFill="1" applyBorder="1">
      <alignment vertical="center"/>
    </xf>
    <xf numFmtId="0" fontId="17" fillId="2" borderId="3" xfId="1" applyFont="1" applyFill="1" applyBorder="1" applyAlignment="1">
      <alignment wrapText="1"/>
    </xf>
    <xf numFmtId="0" fontId="17" fillId="2" borderId="3" xfId="1" applyFont="1" applyFill="1" applyBorder="1" applyAlignment="1">
      <alignment shrinkToFit="1"/>
    </xf>
    <xf numFmtId="0" fontId="18" fillId="2" borderId="4" xfId="1" applyFont="1" applyFill="1" applyBorder="1">
      <alignment vertical="center"/>
    </xf>
    <xf numFmtId="0" fontId="20" fillId="0" borderId="0" xfId="1" applyFont="1">
      <alignment vertical="center"/>
    </xf>
    <xf numFmtId="0" fontId="18" fillId="2" borderId="5" xfId="1" applyFont="1" applyFill="1" applyBorder="1">
      <alignment vertical="center"/>
    </xf>
    <xf numFmtId="0" fontId="17" fillId="2" borderId="0" xfId="1" applyFont="1" applyFill="1" applyAlignment="1">
      <alignment wrapText="1"/>
    </xf>
    <xf numFmtId="0" fontId="17" fillId="2" borderId="0" xfId="1" applyFont="1" applyFill="1" applyAlignment="1"/>
    <xf numFmtId="0" fontId="21" fillId="2" borderId="0" xfId="1" applyFont="1" applyFill="1" applyAlignment="1"/>
    <xf numFmtId="0" fontId="4" fillId="2" borderId="0" xfId="1" applyFont="1" applyFill="1" applyAlignment="1">
      <alignment horizontal="left" vertical="center" wrapText="1"/>
    </xf>
    <xf numFmtId="0" fontId="18" fillId="2" borderId="6" xfId="1" applyFont="1" applyFill="1" applyBorder="1">
      <alignment vertical="center"/>
    </xf>
    <xf numFmtId="0" fontId="21" fillId="2" borderId="0" xfId="1" applyFont="1" applyFill="1">
      <alignment vertical="center"/>
    </xf>
    <xf numFmtId="0" fontId="17" fillId="2" borderId="0" xfId="1" applyFont="1" applyFill="1" applyAlignment="1">
      <alignment shrinkToFit="1"/>
    </xf>
    <xf numFmtId="0" fontId="4" fillId="2" borderId="0" xfId="1" applyFont="1" applyFill="1" applyAlignment="1">
      <alignment vertical="center" wrapText="1"/>
    </xf>
    <xf numFmtId="0" fontId="17" fillId="2" borderId="0" xfId="1" applyFont="1" applyFill="1" applyAlignment="1">
      <alignment horizontal="left" wrapText="1"/>
    </xf>
    <xf numFmtId="0" fontId="22" fillId="2" borderId="0" xfId="1" applyFont="1" applyFill="1">
      <alignment vertical="center"/>
    </xf>
    <xf numFmtId="0" fontId="21" fillId="2" borderId="0" xfId="1" applyFont="1" applyFill="1" applyAlignment="1">
      <alignment shrinkToFit="1"/>
    </xf>
    <xf numFmtId="0" fontId="21" fillId="2" borderId="0" xfId="1" applyFont="1" applyFill="1" applyAlignment="1">
      <alignment horizontal="left" vertical="center" wrapText="1"/>
    </xf>
    <xf numFmtId="0" fontId="21" fillId="2" borderId="0" xfId="1" applyFont="1" applyFill="1" applyAlignment="1">
      <alignment vertical="center" wrapText="1"/>
    </xf>
    <xf numFmtId="0" fontId="21" fillId="2" borderId="8" xfId="1" applyFont="1" applyFill="1" applyBorder="1" applyAlignment="1">
      <alignment wrapText="1"/>
    </xf>
    <xf numFmtId="0" fontId="21" fillId="2" borderId="0" xfId="1" applyFont="1" applyFill="1" applyAlignment="1">
      <alignment wrapText="1"/>
    </xf>
    <xf numFmtId="0" fontId="22" fillId="2" borderId="0" xfId="1" applyFont="1" applyFill="1" applyAlignment="1">
      <alignment horizontal="left" vertical="center"/>
    </xf>
    <xf numFmtId="0" fontId="24" fillId="2" borderId="0" xfId="1" applyFont="1" applyFill="1" applyAlignment="1">
      <alignment vertical="center" wrapText="1"/>
    </xf>
    <xf numFmtId="0" fontId="15" fillId="2" borderId="0" xfId="1" applyFont="1" applyFill="1" applyAlignment="1">
      <alignment horizontal="center" vertical="center"/>
    </xf>
    <xf numFmtId="0" fontId="19" fillId="2" borderId="0" xfId="1" applyFont="1" applyFill="1" applyAlignment="1">
      <alignment horizontal="center" vertical="center"/>
    </xf>
    <xf numFmtId="0" fontId="21" fillId="2" borderId="0" xfId="1" applyFont="1" applyFill="1" applyAlignment="1">
      <alignment horizontal="center" vertical="center"/>
    </xf>
    <xf numFmtId="0" fontId="27" fillId="2" borderId="0" xfId="1" applyFont="1" applyFill="1">
      <alignment vertical="center"/>
    </xf>
    <xf numFmtId="0" fontId="1" fillId="2" borderId="3" xfId="1" applyFill="1" applyBorder="1">
      <alignment vertical="center"/>
    </xf>
    <xf numFmtId="0" fontId="24" fillId="2" borderId="0" xfId="1" applyFont="1" applyFill="1">
      <alignment vertical="center"/>
    </xf>
    <xf numFmtId="0" fontId="18" fillId="2" borderId="7" xfId="1" applyFont="1" applyFill="1" applyBorder="1">
      <alignment vertical="center"/>
    </xf>
    <xf numFmtId="0" fontId="18" fillId="2" borderId="8" xfId="1" applyFont="1" applyFill="1" applyBorder="1">
      <alignment vertical="center"/>
    </xf>
    <xf numFmtId="0" fontId="18" fillId="2" borderId="9" xfId="1" applyFont="1" applyFill="1" applyBorder="1">
      <alignment vertical="center"/>
    </xf>
    <xf numFmtId="0" fontId="21" fillId="2" borderId="8" xfId="1" applyFont="1" applyFill="1" applyBorder="1" applyAlignment="1"/>
    <xf numFmtId="0" fontId="17" fillId="2" borderId="0" xfId="1" applyFont="1" applyFill="1" applyAlignment="1">
      <alignment horizontal="left" vertical="center" wrapText="1"/>
    </xf>
    <xf numFmtId="0" fontId="25" fillId="2" borderId="0" xfId="1" applyFont="1" applyFill="1" applyAlignment="1">
      <alignment horizontal="left" vertical="center"/>
    </xf>
    <xf numFmtId="0" fontId="13" fillId="2" borderId="0" xfId="1" applyFont="1" applyFill="1">
      <alignment vertical="center"/>
    </xf>
    <xf numFmtId="0" fontId="1" fillId="2" borderId="2" xfId="1" applyFill="1" applyBorder="1">
      <alignment vertical="center"/>
    </xf>
    <xf numFmtId="0" fontId="13" fillId="2" borderId="3" xfId="1" applyFont="1" applyFill="1" applyBorder="1">
      <alignment vertical="center"/>
    </xf>
    <xf numFmtId="0" fontId="1" fillId="2" borderId="4" xfId="1" applyFill="1" applyBorder="1">
      <alignment vertical="center"/>
    </xf>
    <xf numFmtId="0" fontId="1" fillId="2" borderId="5" xfId="1" applyFill="1" applyBorder="1">
      <alignment vertical="center"/>
    </xf>
    <xf numFmtId="0" fontId="1" fillId="2" borderId="6" xfId="1" applyFill="1" applyBorder="1">
      <alignment vertical="center"/>
    </xf>
    <xf numFmtId="0" fontId="1" fillId="2" borderId="7" xfId="1" applyFill="1" applyBorder="1">
      <alignment vertical="center"/>
    </xf>
    <xf numFmtId="0" fontId="1" fillId="2" borderId="8" xfId="1" applyFill="1" applyBorder="1">
      <alignment vertical="center"/>
    </xf>
    <xf numFmtId="0" fontId="1" fillId="2" borderId="9" xfId="1" applyFill="1" applyBorder="1">
      <alignment vertical="center"/>
    </xf>
    <xf numFmtId="0" fontId="31" fillId="0" borderId="0" xfId="1" applyFont="1" applyAlignment="1">
      <alignment horizontal="left" vertical="center" wrapText="1"/>
    </xf>
    <xf numFmtId="0" fontId="7" fillId="4" borderId="2" xfId="1" applyFont="1" applyFill="1" applyBorder="1" applyAlignment="1">
      <alignment horizontal="left" vertical="top" wrapText="1"/>
    </xf>
    <xf numFmtId="0" fontId="7" fillId="4" borderId="3" xfId="1" applyFont="1" applyFill="1" applyBorder="1" applyAlignment="1">
      <alignment horizontal="left" vertical="top" wrapText="1"/>
    </xf>
    <xf numFmtId="0" fontId="7" fillId="4" borderId="4" xfId="1" applyFont="1" applyFill="1" applyBorder="1" applyAlignment="1">
      <alignment horizontal="left" vertical="top" wrapText="1"/>
    </xf>
    <xf numFmtId="0" fontId="7" fillId="4" borderId="5" xfId="1" applyFont="1" applyFill="1" applyBorder="1" applyAlignment="1">
      <alignment horizontal="left" vertical="top" wrapText="1"/>
    </xf>
    <xf numFmtId="0" fontId="7" fillId="4" borderId="0" xfId="1" applyFont="1" applyFill="1" applyAlignment="1">
      <alignment horizontal="left" vertical="top" wrapText="1"/>
    </xf>
    <xf numFmtId="0" fontId="7" fillId="4" borderId="6" xfId="1" applyFont="1" applyFill="1" applyBorder="1" applyAlignment="1">
      <alignment horizontal="left" vertical="top" wrapText="1"/>
    </xf>
    <xf numFmtId="0" fontId="7" fillId="4" borderId="7" xfId="1" applyFont="1" applyFill="1" applyBorder="1" applyAlignment="1">
      <alignment horizontal="left" vertical="top" wrapText="1"/>
    </xf>
    <xf numFmtId="0" fontId="7" fillId="4" borderId="8" xfId="1" applyFont="1" applyFill="1" applyBorder="1" applyAlignment="1">
      <alignment horizontal="left" vertical="top" wrapText="1"/>
    </xf>
    <xf numFmtId="0" fontId="7" fillId="4" borderId="9" xfId="1" applyFont="1" applyFill="1" applyBorder="1" applyAlignment="1">
      <alignment horizontal="left" vertical="top" wrapText="1"/>
    </xf>
    <xf numFmtId="0" fontId="19" fillId="0" borderId="5" xfId="1" applyFont="1" applyBorder="1" applyAlignment="1">
      <alignment horizontal="center" vertical="center" shrinkToFit="1"/>
    </xf>
    <xf numFmtId="0" fontId="19" fillId="0" borderId="0" xfId="1" applyFont="1" applyAlignment="1">
      <alignment horizontal="center" vertical="center" shrinkToFit="1"/>
    </xf>
    <xf numFmtId="0" fontId="19" fillId="0" borderId="7" xfId="1" applyFont="1" applyBorder="1" applyAlignment="1">
      <alignment horizontal="center" vertical="center" shrinkToFit="1"/>
    </xf>
    <xf numFmtId="0" fontId="19" fillId="0" borderId="8" xfId="1" applyFont="1" applyBorder="1" applyAlignment="1">
      <alignment horizontal="center" vertical="center" shrinkToFit="1"/>
    </xf>
    <xf numFmtId="0" fontId="19" fillId="0" borderId="6" xfId="1" applyFont="1" applyBorder="1" applyAlignment="1">
      <alignment horizontal="center" vertical="center" shrinkToFit="1"/>
    </xf>
    <xf numFmtId="0" fontId="19" fillId="0" borderId="9" xfId="1" applyFont="1" applyBorder="1" applyAlignment="1">
      <alignment horizontal="center" vertical="center" shrinkToFit="1"/>
    </xf>
    <xf numFmtId="0" fontId="15" fillId="0" borderId="2" xfId="1" applyFont="1" applyBorder="1" applyAlignment="1">
      <alignment horizontal="center" vertical="center"/>
    </xf>
    <xf numFmtId="0" fontId="15" fillId="0" borderId="3" xfId="1" applyFont="1" applyBorder="1" applyAlignment="1">
      <alignment horizontal="center" vertical="center"/>
    </xf>
    <xf numFmtId="0" fontId="15" fillId="0" borderId="4" xfId="1" applyFont="1" applyBorder="1" applyAlignment="1">
      <alignment horizontal="center" vertical="center"/>
    </xf>
    <xf numFmtId="0" fontId="15" fillId="0" borderId="5" xfId="1" applyFont="1" applyBorder="1" applyAlignment="1">
      <alignment horizontal="center" vertical="center"/>
    </xf>
    <xf numFmtId="0" fontId="15" fillId="0" borderId="0" xfId="1" applyFont="1" applyAlignment="1">
      <alignment horizontal="center" vertical="center"/>
    </xf>
    <xf numFmtId="0" fontId="15" fillId="0" borderId="6" xfId="1" applyFont="1" applyBorder="1" applyAlignment="1">
      <alignment horizontal="center" vertical="center"/>
    </xf>
    <xf numFmtId="0" fontId="15" fillId="0" borderId="7" xfId="1" applyFont="1" applyBorder="1" applyAlignment="1">
      <alignment horizontal="center" vertical="center"/>
    </xf>
    <xf numFmtId="0" fontId="15" fillId="0" borderId="8" xfId="1" applyFont="1" applyBorder="1" applyAlignment="1">
      <alignment horizontal="center" vertical="center"/>
    </xf>
    <xf numFmtId="0" fontId="15" fillId="0" borderId="9" xfId="1" applyFont="1" applyBorder="1" applyAlignment="1">
      <alignment horizontal="center" vertical="center"/>
    </xf>
    <xf numFmtId="0" fontId="19" fillId="0" borderId="2" xfId="1" applyFont="1" applyBorder="1" applyAlignment="1">
      <alignment horizontal="center" vertical="center"/>
    </xf>
    <xf numFmtId="0" fontId="19" fillId="0" borderId="3" xfId="1" applyFont="1" applyBorder="1" applyAlignment="1">
      <alignment horizontal="center" vertical="center"/>
    </xf>
    <xf numFmtId="0" fontId="19" fillId="0" borderId="4" xfId="1" applyFont="1" applyBorder="1" applyAlignment="1">
      <alignment horizontal="center" vertical="center"/>
    </xf>
    <xf numFmtId="0" fontId="19" fillId="0" borderId="5"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7" xfId="1" applyFont="1" applyBorder="1" applyAlignment="1">
      <alignment horizontal="center" vertical="center"/>
    </xf>
    <xf numFmtId="0" fontId="19" fillId="0" borderId="8" xfId="1" applyFont="1" applyBorder="1" applyAlignment="1">
      <alignment horizontal="center" vertical="center"/>
    </xf>
    <xf numFmtId="0" fontId="19" fillId="0" borderId="9" xfId="1" applyFont="1" applyBorder="1" applyAlignment="1">
      <alignment horizontal="center" vertical="center"/>
    </xf>
    <xf numFmtId="0" fontId="23" fillId="0" borderId="2" xfId="1" applyFont="1" applyBorder="1" applyAlignment="1">
      <alignment horizontal="left" vertical="center" wrapText="1"/>
    </xf>
    <xf numFmtId="0" fontId="23" fillId="0" borderId="3" xfId="1" applyFont="1" applyBorder="1" applyAlignment="1">
      <alignment horizontal="left" vertical="center" wrapText="1"/>
    </xf>
    <xf numFmtId="0" fontId="23" fillId="0" borderId="4" xfId="1" applyFont="1" applyBorder="1" applyAlignment="1">
      <alignment horizontal="left" vertical="center" wrapText="1"/>
    </xf>
    <xf numFmtId="0" fontId="23" fillId="0" borderId="5" xfId="1" applyFont="1" applyBorder="1" applyAlignment="1">
      <alignment horizontal="left" vertical="center" wrapText="1"/>
    </xf>
    <xf numFmtId="0" fontId="23" fillId="0" borderId="0" xfId="1" applyFont="1" applyAlignment="1">
      <alignment horizontal="left" vertical="center" wrapText="1"/>
    </xf>
    <xf numFmtId="0" fontId="23" fillId="0" borderId="6" xfId="1" applyFont="1" applyBorder="1" applyAlignment="1">
      <alignment horizontal="left" vertical="center" wrapText="1"/>
    </xf>
    <xf numFmtId="0" fontId="23" fillId="0" borderId="7" xfId="1" applyFont="1" applyBorder="1" applyAlignment="1">
      <alignment horizontal="left" vertical="center" wrapText="1"/>
    </xf>
    <xf numFmtId="0" fontId="23" fillId="0" borderId="8" xfId="1" applyFont="1" applyBorder="1" applyAlignment="1">
      <alignment horizontal="left" vertical="center" wrapText="1"/>
    </xf>
    <xf numFmtId="0" fontId="23" fillId="0" borderId="9" xfId="1" applyFont="1" applyBorder="1" applyAlignment="1">
      <alignment horizontal="left" vertical="center" wrapText="1"/>
    </xf>
    <xf numFmtId="0" fontId="19" fillId="0" borderId="2" xfId="1" applyFont="1" applyBorder="1" applyAlignment="1">
      <alignment horizontal="center" vertical="center" shrinkToFit="1"/>
    </xf>
    <xf numFmtId="0" fontId="19" fillId="0" borderId="3" xfId="1" applyFont="1" applyBorder="1" applyAlignment="1">
      <alignment horizontal="center" vertical="center" shrinkToFit="1"/>
    </xf>
    <xf numFmtId="0" fontId="19" fillId="0" borderId="4" xfId="1" applyFont="1" applyBorder="1" applyAlignment="1">
      <alignment horizontal="center" vertical="center" shrinkToFit="1"/>
    </xf>
    <xf numFmtId="0" fontId="19" fillId="0" borderId="2" xfId="1" applyFont="1" applyBorder="1" applyAlignment="1">
      <alignment horizontal="center" vertical="center" wrapText="1"/>
    </xf>
    <xf numFmtId="0" fontId="19" fillId="0" borderId="3" xfId="1" applyFont="1" applyBorder="1" applyAlignment="1">
      <alignment horizontal="center" vertical="center" wrapText="1"/>
    </xf>
    <xf numFmtId="0" fontId="19" fillId="0" borderId="4" xfId="1" applyFont="1" applyBorder="1" applyAlignment="1">
      <alignment horizontal="center" vertical="center" wrapText="1"/>
    </xf>
    <xf numFmtId="0" fontId="19" fillId="0" borderId="5" xfId="1" applyFont="1" applyBorder="1" applyAlignment="1">
      <alignment horizontal="center" vertical="center" wrapText="1"/>
    </xf>
    <xf numFmtId="0" fontId="19" fillId="0" borderId="0" xfId="1" applyFont="1" applyAlignment="1">
      <alignment horizontal="center" vertical="center" wrapText="1"/>
    </xf>
    <xf numFmtId="0" fontId="19" fillId="0" borderId="6" xfId="1" applyFont="1" applyBorder="1" applyAlignment="1">
      <alignment horizontal="center" vertical="center" wrapText="1"/>
    </xf>
    <xf numFmtId="0" fontId="19" fillId="0" borderId="7" xfId="1" applyFont="1" applyBorder="1" applyAlignment="1">
      <alignment horizontal="center" vertical="center" wrapText="1"/>
    </xf>
    <xf numFmtId="0" fontId="19" fillId="0" borderId="8" xfId="1" applyFont="1" applyBorder="1" applyAlignment="1">
      <alignment horizontal="center" vertical="center" wrapText="1"/>
    </xf>
    <xf numFmtId="0" fontId="19" fillId="0" borderId="9" xfId="1" applyFont="1" applyBorder="1" applyAlignment="1">
      <alignment horizontal="center" vertical="center" wrapText="1"/>
    </xf>
    <xf numFmtId="0" fontId="17" fillId="2" borderId="10" xfId="1" applyFont="1" applyFill="1" applyBorder="1" applyAlignment="1">
      <alignment horizontal="left" wrapText="1"/>
    </xf>
    <xf numFmtId="0" fontId="15" fillId="3" borderId="2" xfId="1" applyFont="1" applyFill="1" applyBorder="1" applyAlignment="1">
      <alignment horizontal="center" vertical="center"/>
    </xf>
    <xf numFmtId="0" fontId="15" fillId="3" borderId="3" xfId="1" applyFont="1" applyFill="1" applyBorder="1" applyAlignment="1">
      <alignment horizontal="center" vertical="center"/>
    </xf>
    <xf numFmtId="0" fontId="15" fillId="3" borderId="4" xfId="1" applyFont="1" applyFill="1" applyBorder="1" applyAlignment="1">
      <alignment horizontal="center" vertical="center"/>
    </xf>
    <xf numFmtId="0" fontId="15" fillId="3" borderId="7" xfId="1" applyFont="1" applyFill="1" applyBorder="1" applyAlignment="1">
      <alignment horizontal="center" vertical="center"/>
    </xf>
    <xf numFmtId="0" fontId="15" fillId="3" borderId="8" xfId="1" applyFont="1" applyFill="1" applyBorder="1" applyAlignment="1">
      <alignment horizontal="center" vertical="center"/>
    </xf>
    <xf numFmtId="0" fontId="15" fillId="3" borderId="9" xfId="1" applyFont="1" applyFill="1" applyBorder="1" applyAlignment="1">
      <alignment horizontal="center" vertical="center"/>
    </xf>
    <xf numFmtId="0" fontId="25" fillId="0" borderId="2" xfId="1" applyFont="1" applyBorder="1" applyAlignment="1">
      <alignment horizontal="center" vertical="center" shrinkToFit="1"/>
    </xf>
    <xf numFmtId="0" fontId="25" fillId="0" borderId="3" xfId="1" applyFont="1" applyBorder="1" applyAlignment="1">
      <alignment horizontal="center" vertical="center" shrinkToFit="1"/>
    </xf>
    <xf numFmtId="0" fontId="25" fillId="0" borderId="4" xfId="1" applyFont="1" applyBorder="1" applyAlignment="1">
      <alignment horizontal="center" vertical="center" shrinkToFit="1"/>
    </xf>
    <xf numFmtId="0" fontId="25" fillId="0" borderId="7" xfId="1" applyFont="1" applyBorder="1" applyAlignment="1">
      <alignment horizontal="center" vertical="center" shrinkToFit="1"/>
    </xf>
    <xf numFmtId="0" fontId="25" fillId="0" borderId="8" xfId="1" applyFont="1" applyBorder="1" applyAlignment="1">
      <alignment horizontal="center" vertical="center" shrinkToFit="1"/>
    </xf>
    <xf numFmtId="0" fontId="25" fillId="0" borderId="9" xfId="1" applyFont="1" applyBorder="1" applyAlignment="1">
      <alignment horizontal="center" vertical="center" shrinkToFit="1"/>
    </xf>
    <xf numFmtId="0" fontId="15" fillId="0" borderId="2" xfId="1" applyFont="1" applyBorder="1" applyAlignment="1">
      <alignment horizontal="center" vertical="center" wrapText="1"/>
    </xf>
    <xf numFmtId="0" fontId="15" fillId="0" borderId="3" xfId="1" applyFont="1" applyBorder="1" applyAlignment="1">
      <alignment horizontal="center" vertical="center" wrapText="1"/>
    </xf>
    <xf numFmtId="0" fontId="15" fillId="0" borderId="4" xfId="1" applyFont="1" applyBorder="1" applyAlignment="1">
      <alignment horizontal="center" vertical="center" wrapText="1"/>
    </xf>
    <xf numFmtId="0" fontId="15" fillId="0" borderId="5" xfId="1" applyFont="1" applyBorder="1" applyAlignment="1">
      <alignment horizontal="center" vertical="center" wrapText="1"/>
    </xf>
    <xf numFmtId="0" fontId="15" fillId="0" borderId="0" xfId="1" applyFont="1" applyAlignment="1">
      <alignment horizontal="center" vertical="center" wrapText="1"/>
    </xf>
    <xf numFmtId="0" fontId="15" fillId="0" borderId="6" xfId="1" applyFont="1" applyBorder="1" applyAlignment="1">
      <alignment horizontal="center" vertical="center" wrapText="1"/>
    </xf>
    <xf numFmtId="0" fontId="15" fillId="0" borderId="7" xfId="1" applyFont="1" applyBorder="1" applyAlignment="1">
      <alignment horizontal="center" vertical="center" wrapText="1"/>
    </xf>
    <xf numFmtId="0" fontId="15" fillId="0" borderId="8" xfId="1" applyFont="1" applyBorder="1" applyAlignment="1">
      <alignment horizontal="center" vertical="center" wrapText="1"/>
    </xf>
    <xf numFmtId="0" fontId="15" fillId="0" borderId="9" xfId="1" applyFont="1" applyBorder="1" applyAlignment="1">
      <alignment horizontal="center" vertical="center" wrapText="1"/>
    </xf>
    <xf numFmtId="0" fontId="30" fillId="0" borderId="1" xfId="1" applyFont="1" applyBorder="1" applyAlignment="1">
      <alignment horizontal="center" vertical="center" wrapText="1"/>
    </xf>
    <xf numFmtId="0" fontId="18" fillId="0" borderId="1" xfId="1" applyFont="1" applyBorder="1" applyAlignment="1">
      <alignment horizontal="center" vertical="center" wrapText="1"/>
    </xf>
    <xf numFmtId="0" fontId="32" fillId="0" borderId="2" xfId="1" applyFont="1" applyBorder="1" applyAlignment="1">
      <alignment horizontal="left" vertical="center" wrapText="1"/>
    </xf>
    <xf numFmtId="0" fontId="32" fillId="0" borderId="3" xfId="1" applyFont="1" applyBorder="1" applyAlignment="1">
      <alignment horizontal="left" vertical="center" wrapText="1"/>
    </xf>
    <xf numFmtId="0" fontId="32" fillId="0" borderId="4" xfId="1" applyFont="1" applyBorder="1" applyAlignment="1">
      <alignment horizontal="left" vertical="center" wrapText="1"/>
    </xf>
    <xf numFmtId="0" fontId="32" fillId="0" borderId="5" xfId="1" applyFont="1" applyBorder="1" applyAlignment="1">
      <alignment horizontal="left" vertical="center" wrapText="1"/>
    </xf>
    <xf numFmtId="0" fontId="32" fillId="0" borderId="0" xfId="1" applyFont="1" applyAlignment="1">
      <alignment horizontal="left" vertical="center" wrapText="1"/>
    </xf>
    <xf numFmtId="0" fontId="32" fillId="0" borderId="6" xfId="1" applyFont="1" applyBorder="1" applyAlignment="1">
      <alignment horizontal="left" vertical="center" wrapText="1"/>
    </xf>
    <xf numFmtId="0" fontId="32" fillId="0" borderId="7" xfId="1" applyFont="1" applyBorder="1" applyAlignment="1">
      <alignment horizontal="left" vertical="center" wrapText="1"/>
    </xf>
    <xf numFmtId="0" fontId="32" fillId="0" borderId="8" xfId="1" applyFont="1" applyBorder="1" applyAlignment="1">
      <alignment horizontal="left" vertical="center" wrapText="1"/>
    </xf>
    <xf numFmtId="0" fontId="32" fillId="0" borderId="9" xfId="1" applyFont="1" applyBorder="1" applyAlignment="1">
      <alignment horizontal="left" vertical="center" wrapText="1"/>
    </xf>
    <xf numFmtId="0" fontId="29" fillId="0" borderId="1" xfId="1" applyFont="1" applyBorder="1" applyAlignment="1">
      <alignment horizontal="center" vertical="center" wrapText="1"/>
    </xf>
    <xf numFmtId="0" fontId="18" fillId="0" borderId="1" xfId="1" quotePrefix="1" applyFont="1" applyBorder="1" applyAlignment="1">
      <alignment horizontal="center" vertical="center" wrapText="1"/>
    </xf>
    <xf numFmtId="0" fontId="17" fillId="2" borderId="3" xfId="1" applyFont="1" applyFill="1" applyBorder="1" applyAlignment="1">
      <alignment horizontal="left" wrapText="1"/>
    </xf>
    <xf numFmtId="0" fontId="17" fillId="2" borderId="8" xfId="1" applyFont="1" applyFill="1" applyBorder="1" applyAlignment="1">
      <alignment horizontal="left" wrapText="1"/>
    </xf>
    <xf numFmtId="0" fontId="28" fillId="0" borderId="2" xfId="1" applyFont="1" applyBorder="1" applyAlignment="1">
      <alignment horizontal="left" vertical="center" wrapText="1"/>
    </xf>
    <xf numFmtId="0" fontId="28" fillId="0" borderId="3" xfId="1" applyFont="1" applyBorder="1" applyAlignment="1">
      <alignment horizontal="left" vertical="center" wrapText="1"/>
    </xf>
    <xf numFmtId="0" fontId="28" fillId="0" borderId="4" xfId="1" applyFont="1" applyBorder="1" applyAlignment="1">
      <alignment horizontal="left" vertical="center" wrapText="1"/>
    </xf>
    <xf numFmtId="0" fontId="28" fillId="0" borderId="5" xfId="1" applyFont="1" applyBorder="1" applyAlignment="1">
      <alignment horizontal="left" vertical="center" wrapText="1"/>
    </xf>
    <xf numFmtId="0" fontId="28" fillId="0" borderId="0" xfId="1" applyFont="1" applyAlignment="1">
      <alignment horizontal="left" vertical="center" wrapText="1"/>
    </xf>
    <xf numFmtId="0" fontId="28" fillId="0" borderId="6" xfId="1" applyFont="1" applyBorder="1" applyAlignment="1">
      <alignment horizontal="left" vertical="center" wrapText="1"/>
    </xf>
    <xf numFmtId="0" fontId="28" fillId="0" borderId="7" xfId="1" applyFont="1" applyBorder="1" applyAlignment="1">
      <alignment horizontal="left" vertical="center" wrapText="1"/>
    </xf>
    <xf numFmtId="0" fontId="28" fillId="0" borderId="8" xfId="1" applyFont="1" applyBorder="1" applyAlignment="1">
      <alignment horizontal="left" vertical="center" wrapText="1"/>
    </xf>
    <xf numFmtId="0" fontId="28" fillId="0" borderId="9" xfId="1" applyFont="1" applyBorder="1" applyAlignment="1">
      <alignment horizontal="left" vertical="center" wrapText="1"/>
    </xf>
    <xf numFmtId="0" fontId="23" fillId="0" borderId="3" xfId="1" applyFont="1" applyBorder="1" applyAlignment="1">
      <alignment horizontal="left" vertical="center"/>
    </xf>
    <xf numFmtId="0" fontId="23" fillId="0" borderId="4" xfId="1" applyFont="1" applyBorder="1" applyAlignment="1">
      <alignment horizontal="left" vertical="center"/>
    </xf>
    <xf numFmtId="0" fontId="23" fillId="0" borderId="5" xfId="1" applyFont="1" applyBorder="1" applyAlignment="1">
      <alignment horizontal="left" vertical="center"/>
    </xf>
    <xf numFmtId="0" fontId="23" fillId="0" borderId="0" xfId="1" applyFont="1" applyAlignment="1">
      <alignment horizontal="left" vertical="center"/>
    </xf>
    <xf numFmtId="0" fontId="23" fillId="0" borderId="6" xfId="1" applyFont="1" applyBorder="1" applyAlignment="1">
      <alignment horizontal="left" vertical="center"/>
    </xf>
    <xf numFmtId="0" fontId="23" fillId="0" borderId="7" xfId="1" applyFont="1" applyBorder="1" applyAlignment="1">
      <alignment horizontal="left" vertical="center"/>
    </xf>
    <xf numFmtId="0" fontId="23" fillId="0" borderId="8" xfId="1" applyFont="1" applyBorder="1" applyAlignment="1">
      <alignment horizontal="left" vertical="center"/>
    </xf>
    <xf numFmtId="0" fontId="23" fillId="0" borderId="9" xfId="1" applyFont="1" applyBorder="1" applyAlignment="1">
      <alignment horizontal="left" vertical="center"/>
    </xf>
    <xf numFmtId="0" fontId="15" fillId="0" borderId="1" xfId="1" applyFont="1" applyBorder="1" applyAlignment="1">
      <alignment horizontal="center" vertical="center"/>
    </xf>
    <xf numFmtId="0" fontId="15" fillId="0" borderId="11" xfId="1" applyFont="1" applyBorder="1" applyAlignment="1">
      <alignment horizontal="center" vertical="center"/>
    </xf>
    <xf numFmtId="0" fontId="25" fillId="0" borderId="5" xfId="1" applyFont="1" applyBorder="1" applyAlignment="1">
      <alignment horizontal="center" vertical="center" shrinkToFit="1"/>
    </xf>
    <xf numFmtId="0" fontId="25" fillId="0" borderId="0" xfId="1" applyFont="1" applyAlignment="1">
      <alignment horizontal="center" vertical="center" shrinkToFit="1"/>
    </xf>
    <xf numFmtId="0" fontId="25" fillId="0" borderId="6" xfId="1" applyFont="1" applyBorder="1" applyAlignment="1">
      <alignment horizontal="center" vertical="center" shrinkToFit="1"/>
    </xf>
    <xf numFmtId="0" fontId="15" fillId="0" borderId="1" xfId="1" applyFont="1" applyBorder="1" applyAlignment="1">
      <alignment horizontal="center" vertical="center" wrapText="1"/>
    </xf>
    <xf numFmtId="0" fontId="17" fillId="2" borderId="0" xfId="1" applyFont="1" applyFill="1" applyAlignment="1">
      <alignment horizontal="left" wrapText="1"/>
    </xf>
    <xf numFmtId="0" fontId="25" fillId="0" borderId="2" xfId="1" applyFont="1" applyBorder="1" applyAlignment="1">
      <alignment horizontal="center" vertical="center" wrapText="1"/>
    </xf>
    <xf numFmtId="0" fontId="25" fillId="0" borderId="3" xfId="1" applyFont="1" applyBorder="1" applyAlignment="1">
      <alignment horizontal="center" vertical="center" wrapText="1"/>
    </xf>
    <xf numFmtId="0" fontId="25" fillId="0" borderId="5" xfId="1" applyFont="1" applyBorder="1" applyAlignment="1">
      <alignment horizontal="center" vertical="center" wrapText="1"/>
    </xf>
    <xf numFmtId="0" fontId="25" fillId="0" borderId="0" xfId="1" applyFont="1" applyAlignment="1">
      <alignment horizontal="center" vertical="center" wrapText="1"/>
    </xf>
    <xf numFmtId="0" fontId="28" fillId="0" borderId="2" xfId="1" applyFont="1" applyBorder="1" applyAlignment="1">
      <alignment horizontal="center" vertical="center" wrapText="1"/>
    </xf>
    <xf numFmtId="0" fontId="28" fillId="0" borderId="3" xfId="1" applyFont="1" applyBorder="1" applyAlignment="1">
      <alignment horizontal="center" vertical="center" wrapText="1"/>
    </xf>
    <xf numFmtId="0" fontId="28" fillId="0" borderId="4" xfId="1" applyFont="1" applyBorder="1" applyAlignment="1">
      <alignment horizontal="center" vertical="center" wrapText="1"/>
    </xf>
    <xf numFmtId="0" fontId="28" fillId="0" borderId="5" xfId="1" applyFont="1" applyBorder="1" applyAlignment="1">
      <alignment horizontal="center" vertical="center" wrapText="1"/>
    </xf>
    <xf numFmtId="0" fontId="28" fillId="0" borderId="0" xfId="1" applyFont="1" applyAlignment="1">
      <alignment horizontal="center" vertical="center" wrapText="1"/>
    </xf>
    <xf numFmtId="0" fontId="28" fillId="0" borderId="6" xfId="1" applyFont="1" applyBorder="1" applyAlignment="1">
      <alignment horizontal="center" vertical="center" wrapText="1"/>
    </xf>
    <xf numFmtId="0" fontId="25" fillId="0" borderId="4" xfId="1" applyFont="1" applyBorder="1" applyAlignment="1">
      <alignment horizontal="center" vertical="center" wrapText="1"/>
    </xf>
    <xf numFmtId="0" fontId="25" fillId="0" borderId="6" xfId="1" applyFont="1" applyBorder="1" applyAlignment="1">
      <alignment horizontal="center" vertical="center" wrapText="1"/>
    </xf>
    <xf numFmtId="0" fontId="25" fillId="0" borderId="7" xfId="1" applyFont="1" applyBorder="1" applyAlignment="1">
      <alignment horizontal="center" vertical="center" wrapText="1"/>
    </xf>
    <xf numFmtId="0" fontId="25" fillId="0" borderId="8" xfId="1" applyFont="1" applyBorder="1" applyAlignment="1">
      <alignment horizontal="center" vertical="center" wrapText="1"/>
    </xf>
    <xf numFmtId="0" fontId="25" fillId="0" borderId="9" xfId="1" applyFont="1" applyBorder="1" applyAlignment="1">
      <alignment horizontal="center" vertical="center" wrapText="1"/>
    </xf>
    <xf numFmtId="0" fontId="14" fillId="0" borderId="2" xfId="1" applyFont="1" applyBorder="1" applyAlignment="1">
      <alignment horizontal="left" vertical="center" wrapText="1"/>
    </xf>
    <xf numFmtId="0" fontId="14" fillId="0" borderId="3" xfId="1" applyFont="1" applyBorder="1" applyAlignment="1">
      <alignment horizontal="left" vertical="center" wrapText="1"/>
    </xf>
    <xf numFmtId="0" fontId="14" fillId="0" borderId="4" xfId="1" applyFont="1" applyBorder="1" applyAlignment="1">
      <alignment horizontal="left" vertical="center" wrapText="1"/>
    </xf>
    <xf numFmtId="0" fontId="14" fillId="0" borderId="5" xfId="1" applyFont="1" applyBorder="1" applyAlignment="1">
      <alignment horizontal="left" vertical="center" wrapText="1"/>
    </xf>
    <xf numFmtId="0" fontId="14" fillId="0" borderId="0" xfId="1" applyFont="1" applyAlignment="1">
      <alignment horizontal="left" vertical="center" wrapText="1"/>
    </xf>
    <xf numFmtId="0" fontId="14" fillId="0" borderId="6" xfId="1" applyFont="1" applyBorder="1" applyAlignment="1">
      <alignment horizontal="left" vertical="center" wrapText="1"/>
    </xf>
    <xf numFmtId="0" fontId="14" fillId="0" borderId="7" xfId="1" applyFont="1" applyBorder="1" applyAlignment="1">
      <alignment horizontal="left" vertical="center" wrapText="1"/>
    </xf>
    <xf numFmtId="0" fontId="14" fillId="0" borderId="8" xfId="1" applyFont="1" applyBorder="1" applyAlignment="1">
      <alignment horizontal="left" vertical="center" wrapText="1"/>
    </xf>
    <xf numFmtId="0" fontId="14" fillId="0" borderId="9" xfId="1" applyFont="1" applyBorder="1" applyAlignment="1">
      <alignment horizontal="left" vertical="center" wrapText="1"/>
    </xf>
    <xf numFmtId="0" fontId="25" fillId="0" borderId="1" xfId="1" applyFont="1" applyBorder="1" applyAlignment="1">
      <alignment horizontal="center" vertical="center" wrapText="1" shrinkToFit="1"/>
    </xf>
    <xf numFmtId="0" fontId="26" fillId="0" borderId="10" xfId="1" applyFont="1" applyBorder="1">
      <alignment vertical="center"/>
    </xf>
    <xf numFmtId="0" fontId="26" fillId="0" borderId="12" xfId="1" applyFont="1" applyBorder="1">
      <alignment vertical="center"/>
    </xf>
    <xf numFmtId="0" fontId="14" fillId="0" borderId="11" xfId="1" applyFont="1" applyBorder="1" applyAlignment="1">
      <alignment horizontal="center" vertical="center"/>
    </xf>
    <xf numFmtId="0" fontId="14" fillId="0" borderId="12" xfId="1" applyFont="1" applyBorder="1" applyAlignment="1">
      <alignment horizontal="center" vertical="center"/>
    </xf>
    <xf numFmtId="0" fontId="1" fillId="0" borderId="0" xfId="1" applyAlignment="1">
      <alignment horizontal="center" vertical="center" shrinkToFit="1"/>
    </xf>
    <xf numFmtId="0" fontId="1" fillId="0" borderId="6" xfId="1" applyBorder="1" applyAlignment="1">
      <alignment horizontal="center" vertical="center" shrinkToFit="1"/>
    </xf>
    <xf numFmtId="0" fontId="1" fillId="0" borderId="5" xfId="1" applyBorder="1" applyAlignment="1">
      <alignment horizontal="center" vertical="center" shrinkToFit="1"/>
    </xf>
    <xf numFmtId="0" fontId="1" fillId="0" borderId="7" xfId="1" applyBorder="1" applyAlignment="1">
      <alignment horizontal="center" vertical="center" shrinkToFit="1"/>
    </xf>
    <xf numFmtId="0" fontId="1" fillId="0" borderId="8" xfId="1" applyBorder="1" applyAlignment="1">
      <alignment horizontal="center" vertical="center" shrinkToFit="1"/>
    </xf>
    <xf numFmtId="0" fontId="1" fillId="0" borderId="9" xfId="1" applyBorder="1" applyAlignment="1">
      <alignment horizontal="center" vertical="center" shrinkToFit="1"/>
    </xf>
    <xf numFmtId="0" fontId="1" fillId="0" borderId="3" xfId="1" applyBorder="1">
      <alignment vertical="center"/>
    </xf>
    <xf numFmtId="0" fontId="1" fillId="0" borderId="4" xfId="1" applyBorder="1">
      <alignment vertical="center"/>
    </xf>
    <xf numFmtId="0" fontId="1" fillId="0" borderId="0" xfId="1">
      <alignment vertical="center"/>
    </xf>
    <xf numFmtId="0" fontId="1" fillId="0" borderId="6" xfId="1" applyBorder="1">
      <alignment vertical="center"/>
    </xf>
    <xf numFmtId="0" fontId="1" fillId="0" borderId="8" xfId="1" applyBorder="1">
      <alignment vertical="center"/>
    </xf>
    <xf numFmtId="0" fontId="1" fillId="0" borderId="9" xfId="1" applyBorder="1">
      <alignment vertical="center"/>
    </xf>
    <xf numFmtId="0" fontId="25" fillId="0" borderId="1" xfId="1" applyFont="1" applyBorder="1" applyAlignment="1">
      <alignment horizontal="center" vertical="center" shrinkToFit="1"/>
    </xf>
    <xf numFmtId="0" fontId="6" fillId="0" borderId="2" xfId="1" applyFont="1" applyBorder="1" applyAlignment="1">
      <alignment horizontal="center" vertical="center"/>
    </xf>
    <xf numFmtId="0" fontId="6" fillId="0" borderId="3" xfId="1" applyFont="1" applyBorder="1" applyAlignment="1">
      <alignment horizontal="center" vertical="center"/>
    </xf>
    <xf numFmtId="0" fontId="6" fillId="0" borderId="4" xfId="1" applyFont="1" applyBorder="1" applyAlignment="1">
      <alignment horizontal="center" vertical="center"/>
    </xf>
    <xf numFmtId="0" fontId="6" fillId="0" borderId="7" xfId="1" applyFont="1" applyBorder="1" applyAlignment="1">
      <alignment horizontal="center" vertical="center"/>
    </xf>
    <xf numFmtId="0" fontId="6" fillId="0" borderId="8" xfId="1" applyFont="1" applyBorder="1" applyAlignment="1">
      <alignment horizontal="center" vertical="center"/>
    </xf>
    <xf numFmtId="0" fontId="6" fillId="0" borderId="9" xfId="1" applyFont="1" applyBorder="1" applyAlignment="1">
      <alignment horizontal="center" vertical="center"/>
    </xf>
    <xf numFmtId="0" fontId="13" fillId="0" borderId="2" xfId="1" applyFont="1" applyBorder="1" applyAlignment="1">
      <alignment horizontal="center" vertical="center" wrapText="1"/>
    </xf>
    <xf numFmtId="0" fontId="13" fillId="0" borderId="3" xfId="1" applyFont="1" applyBorder="1" applyAlignment="1">
      <alignment horizontal="center" vertical="center" wrapText="1"/>
    </xf>
    <xf numFmtId="0" fontId="13" fillId="0" borderId="4" xfId="1" applyFont="1" applyBorder="1" applyAlignment="1">
      <alignment horizontal="center" vertical="center" wrapText="1"/>
    </xf>
    <xf numFmtId="0" fontId="13" fillId="0" borderId="5" xfId="1" applyFont="1" applyBorder="1" applyAlignment="1">
      <alignment horizontal="center" vertical="center" wrapText="1"/>
    </xf>
    <xf numFmtId="0" fontId="13" fillId="0" borderId="0" xfId="1" applyFont="1" applyAlignment="1">
      <alignment horizontal="center" vertical="center" wrapText="1"/>
    </xf>
    <xf numFmtId="0" fontId="13" fillId="0" borderId="6" xfId="1" applyFont="1" applyBorder="1" applyAlignment="1">
      <alignment horizontal="center" vertical="center" wrapText="1"/>
    </xf>
    <xf numFmtId="0" fontId="13" fillId="0" borderId="7" xfId="1" applyFont="1" applyBorder="1" applyAlignment="1">
      <alignment horizontal="center" vertical="center" wrapText="1"/>
    </xf>
    <xf numFmtId="0" fontId="13" fillId="0" borderId="8" xfId="1" applyFont="1" applyBorder="1" applyAlignment="1">
      <alignment horizontal="center" vertical="center" wrapText="1"/>
    </xf>
    <xf numFmtId="0" fontId="13" fillId="0" borderId="9" xfId="1" applyFont="1" applyBorder="1" applyAlignment="1">
      <alignment horizontal="center" vertical="center" wrapText="1"/>
    </xf>
    <xf numFmtId="0" fontId="13" fillId="0" borderId="2" xfId="1" applyFont="1" applyBorder="1" applyAlignment="1">
      <alignment horizontal="center" vertical="center"/>
    </xf>
    <xf numFmtId="0" fontId="13" fillId="0" borderId="3" xfId="1" applyFont="1" applyBorder="1" applyAlignment="1">
      <alignment horizontal="center" vertical="center"/>
    </xf>
    <xf numFmtId="0" fontId="13" fillId="0" borderId="4" xfId="1" applyFont="1" applyBorder="1" applyAlignment="1">
      <alignment horizontal="center" vertical="center"/>
    </xf>
    <xf numFmtId="0" fontId="13" fillId="0" borderId="5" xfId="1" applyFont="1" applyBorder="1" applyAlignment="1">
      <alignment horizontal="center" vertical="center"/>
    </xf>
    <xf numFmtId="0" fontId="13" fillId="0" borderId="0" xfId="1" applyFont="1" applyAlignment="1">
      <alignment horizontal="center" vertical="center"/>
    </xf>
    <xf numFmtId="0" fontId="13" fillId="0" borderId="6" xfId="1" applyFont="1" applyBorder="1" applyAlignment="1">
      <alignment horizontal="center" vertical="center"/>
    </xf>
    <xf numFmtId="0" fontId="13" fillId="0" borderId="7" xfId="1" applyFont="1" applyBorder="1" applyAlignment="1">
      <alignment horizontal="center" vertical="center"/>
    </xf>
    <xf numFmtId="0" fontId="13" fillId="0" borderId="8" xfId="1" applyFont="1" applyBorder="1" applyAlignment="1">
      <alignment horizontal="center" vertical="center"/>
    </xf>
    <xf numFmtId="0" fontId="13" fillId="0" borderId="9" xfId="1" applyFont="1" applyBorder="1" applyAlignment="1">
      <alignment horizontal="center" vertical="center"/>
    </xf>
    <xf numFmtId="0" fontId="16" fillId="0" borderId="2" xfId="1" applyFont="1" applyBorder="1" applyAlignment="1">
      <alignment horizontal="center" vertical="center" wrapText="1"/>
    </xf>
    <xf numFmtId="0" fontId="16" fillId="0" borderId="3" xfId="1" applyFont="1" applyBorder="1" applyAlignment="1">
      <alignment horizontal="center" vertical="center" wrapText="1"/>
    </xf>
    <xf numFmtId="0" fontId="16" fillId="0" borderId="5" xfId="1" applyFont="1" applyBorder="1" applyAlignment="1">
      <alignment horizontal="center" vertical="center" wrapText="1"/>
    </xf>
    <xf numFmtId="0" fontId="16" fillId="0" borderId="0" xfId="1" applyFont="1" applyAlignment="1">
      <alignment horizontal="center" vertical="center" wrapText="1"/>
    </xf>
    <xf numFmtId="0" fontId="16" fillId="0" borderId="7" xfId="1" applyFont="1" applyBorder="1" applyAlignment="1">
      <alignment horizontal="center" vertical="center" wrapText="1"/>
    </xf>
    <xf numFmtId="0" fontId="16" fillId="0" borderId="8" xfId="1" applyFont="1" applyBorder="1" applyAlignment="1">
      <alignment horizontal="center" vertical="center" wrapText="1"/>
    </xf>
    <xf numFmtId="0" fontId="17" fillId="0" borderId="7" xfId="1" applyFont="1" applyBorder="1" applyAlignment="1">
      <alignment horizontal="center" vertical="center" wrapText="1"/>
    </xf>
    <xf numFmtId="0" fontId="17" fillId="0" borderId="8" xfId="1" applyFont="1" applyBorder="1" applyAlignment="1">
      <alignment horizontal="center" vertical="center" wrapText="1"/>
    </xf>
    <xf numFmtId="0" fontId="17" fillId="0" borderId="9" xfId="1" applyFont="1" applyBorder="1" applyAlignment="1">
      <alignment horizontal="center" vertical="center" wrapText="1"/>
    </xf>
    <xf numFmtId="0" fontId="8" fillId="0" borderId="1" xfId="1" applyFont="1" applyBorder="1" applyAlignment="1">
      <alignment horizontal="center" vertical="center" shrinkToFit="1"/>
    </xf>
    <xf numFmtId="0" fontId="1" fillId="0" borderId="1" xfId="1" applyBorder="1" applyAlignment="1">
      <alignment horizontal="center" vertical="center" shrinkToFit="1"/>
    </xf>
    <xf numFmtId="0" fontId="10" fillId="0" borderId="2" xfId="1" applyFont="1" applyBorder="1" applyAlignment="1">
      <alignment horizontal="center" vertical="center" shrinkToFit="1"/>
    </xf>
    <xf numFmtId="0" fontId="1" fillId="0" borderId="3" xfId="1" applyBorder="1" applyAlignment="1">
      <alignment horizontal="center" vertical="center" shrinkToFit="1"/>
    </xf>
    <xf numFmtId="0" fontId="1" fillId="0" borderId="4" xfId="1" applyBorder="1" applyAlignment="1">
      <alignment horizontal="center" vertical="center" shrinkToFit="1"/>
    </xf>
    <xf numFmtId="0" fontId="8" fillId="0" borderId="2" xfId="1" applyFont="1" applyBorder="1" applyAlignment="1">
      <alignment horizontal="center" vertical="center" shrinkToFit="1"/>
    </xf>
    <xf numFmtId="0" fontId="1" fillId="0" borderId="1" xfId="1" applyBorder="1" applyAlignment="1">
      <alignment vertical="center" shrinkToFit="1"/>
    </xf>
    <xf numFmtId="0" fontId="7" fillId="0" borderId="1" xfId="1" applyFont="1" applyBorder="1" applyAlignment="1">
      <alignment horizontal="center" vertical="center" shrinkToFit="1"/>
    </xf>
    <xf numFmtId="0" fontId="11" fillId="0" borderId="2" xfId="1" applyFont="1" applyBorder="1" applyAlignment="1">
      <alignment horizontal="center" vertical="center" shrinkToFit="1"/>
    </xf>
    <xf numFmtId="0" fontId="12" fillId="0" borderId="3" xfId="1" applyFont="1" applyBorder="1" applyAlignment="1">
      <alignment horizontal="center" vertical="center" shrinkToFit="1"/>
    </xf>
    <xf numFmtId="0" fontId="12" fillId="0" borderId="5" xfId="1" applyFont="1" applyBorder="1" applyAlignment="1">
      <alignment horizontal="center" vertical="center" shrinkToFit="1"/>
    </xf>
    <xf numFmtId="0" fontId="12" fillId="0" borderId="0" xfId="1" applyFont="1" applyAlignment="1">
      <alignment horizontal="center" vertical="center" shrinkToFit="1"/>
    </xf>
    <xf numFmtId="0" fontId="12" fillId="0" borderId="7" xfId="1" applyFont="1" applyBorder="1" applyAlignment="1">
      <alignment horizontal="center" vertical="center" shrinkToFit="1"/>
    </xf>
    <xf numFmtId="0" fontId="12" fillId="0" borderId="8" xfId="1" applyFont="1" applyBorder="1" applyAlignment="1">
      <alignment horizontal="center" vertical="center" shrinkToFit="1"/>
    </xf>
    <xf numFmtId="0" fontId="7" fillId="0" borderId="2" xfId="1" applyFont="1" applyBorder="1" applyAlignment="1">
      <alignment horizontal="center" vertical="center" shrinkToFit="1"/>
    </xf>
    <xf numFmtId="0" fontId="33" fillId="0" borderId="2" xfId="1" applyFont="1" applyBorder="1" applyAlignment="1">
      <alignment horizontal="left" vertical="center" wrapText="1"/>
    </xf>
    <xf numFmtId="0" fontId="33" fillId="0" borderId="3" xfId="1" applyFont="1" applyBorder="1" applyAlignment="1">
      <alignment horizontal="left" vertical="center" wrapText="1"/>
    </xf>
    <xf numFmtId="0" fontId="33" fillId="0" borderId="4" xfId="1" applyFont="1" applyBorder="1" applyAlignment="1">
      <alignment horizontal="left" vertical="center" wrapText="1"/>
    </xf>
    <xf numFmtId="0" fontId="33" fillId="0" borderId="5" xfId="1" applyFont="1" applyBorder="1" applyAlignment="1">
      <alignment horizontal="left" vertical="center" wrapText="1"/>
    </xf>
    <xf numFmtId="0" fontId="33" fillId="0" borderId="0" xfId="1" applyFont="1" applyAlignment="1">
      <alignment horizontal="left" vertical="center" wrapText="1"/>
    </xf>
    <xf numFmtId="0" fontId="33" fillId="0" borderId="6" xfId="1" applyFont="1" applyBorder="1" applyAlignment="1">
      <alignment horizontal="left" vertical="center" wrapText="1"/>
    </xf>
    <xf numFmtId="0" fontId="33" fillId="0" borderId="7" xfId="1" applyFont="1" applyBorder="1" applyAlignment="1">
      <alignment horizontal="left" vertical="center" wrapText="1"/>
    </xf>
    <xf numFmtId="0" fontId="33" fillId="0" borderId="8" xfId="1" applyFont="1" applyBorder="1" applyAlignment="1">
      <alignment horizontal="left" vertical="center" wrapText="1"/>
    </xf>
    <xf numFmtId="0" fontId="33" fillId="0" borderId="9" xfId="1" applyFont="1" applyBorder="1" applyAlignment="1">
      <alignment horizontal="left" vertical="center" wrapText="1"/>
    </xf>
    <xf numFmtId="0" fontId="1" fillId="0" borderId="2" xfId="1" applyFont="1" applyBorder="1" applyAlignment="1">
      <alignment horizontal="left" vertical="center" wrapText="1"/>
    </xf>
    <xf numFmtId="0" fontId="1" fillId="0" borderId="3" xfId="1" applyFont="1" applyBorder="1" applyAlignment="1">
      <alignment horizontal="left" vertical="center" wrapText="1"/>
    </xf>
    <xf numFmtId="0" fontId="1" fillId="0" borderId="4" xfId="1" applyFont="1" applyBorder="1" applyAlignment="1">
      <alignment horizontal="left" vertical="center" wrapText="1"/>
    </xf>
    <xf numFmtId="0" fontId="1" fillId="0" borderId="5" xfId="1" applyFont="1" applyBorder="1" applyAlignment="1">
      <alignment horizontal="left" vertical="center" wrapText="1"/>
    </xf>
    <xf numFmtId="0" fontId="1" fillId="0" borderId="0" xfId="1" applyFont="1" applyAlignment="1">
      <alignment horizontal="left" vertical="center" wrapText="1"/>
    </xf>
    <xf numFmtId="0" fontId="1" fillId="0" borderId="6" xfId="1" applyFont="1" applyBorder="1" applyAlignment="1">
      <alignment horizontal="left" vertical="center" wrapText="1"/>
    </xf>
    <xf numFmtId="0" fontId="1" fillId="0" borderId="7" xfId="1" applyFont="1" applyBorder="1" applyAlignment="1">
      <alignment horizontal="left" vertical="center" wrapText="1"/>
    </xf>
    <xf numFmtId="0" fontId="1" fillId="0" borderId="8" xfId="1" applyFont="1" applyBorder="1" applyAlignment="1">
      <alignment horizontal="left" vertical="center" wrapText="1"/>
    </xf>
    <xf numFmtId="0" fontId="1" fillId="0" borderId="9" xfId="1" applyFont="1" applyBorder="1" applyAlignment="1">
      <alignment horizontal="left" vertical="center" wrapText="1"/>
    </xf>
    <xf numFmtId="0" fontId="34" fillId="0" borderId="2" xfId="1" applyFont="1" applyBorder="1" applyAlignment="1">
      <alignment horizontal="left" vertical="center" wrapText="1"/>
    </xf>
    <xf numFmtId="0" fontId="34" fillId="0" borderId="3" xfId="1" applyFont="1" applyBorder="1" applyAlignment="1">
      <alignment horizontal="left" vertical="center" wrapText="1"/>
    </xf>
    <xf numFmtId="0" fontId="34" fillId="0" borderId="4" xfId="1" applyFont="1" applyBorder="1" applyAlignment="1">
      <alignment horizontal="left" vertical="center" wrapText="1"/>
    </xf>
    <xf numFmtId="0" fontId="34" fillId="0" borderId="5" xfId="1" applyFont="1" applyBorder="1" applyAlignment="1">
      <alignment horizontal="left" vertical="center" wrapText="1"/>
    </xf>
    <xf numFmtId="0" fontId="34" fillId="0" borderId="0" xfId="1" applyFont="1" applyAlignment="1">
      <alignment horizontal="left" vertical="center" wrapText="1"/>
    </xf>
    <xf numFmtId="0" fontId="34" fillId="0" borderId="6" xfId="1" applyFont="1" applyBorder="1" applyAlignment="1">
      <alignment horizontal="left" vertical="center" wrapText="1"/>
    </xf>
    <xf numFmtId="0" fontId="34" fillId="0" borderId="7" xfId="1" applyFont="1" applyBorder="1" applyAlignment="1">
      <alignment horizontal="left" vertical="center" wrapText="1"/>
    </xf>
    <xf numFmtId="0" fontId="34" fillId="0" borderId="8" xfId="1" applyFont="1" applyBorder="1" applyAlignment="1">
      <alignment horizontal="left" vertical="center" wrapText="1"/>
    </xf>
    <xf numFmtId="0" fontId="34" fillId="0" borderId="9" xfId="1" applyFont="1" applyBorder="1" applyAlignment="1">
      <alignment horizontal="left" vertical="center" wrapText="1"/>
    </xf>
  </cellXfs>
  <cellStyles count="2">
    <cellStyle name="標準" xfId="0" builtinId="0"/>
    <cellStyle name="標準 2" xfId="1" xr:uid="{219F39DE-500D-4F5A-9DBB-179827F0E997}"/>
  </cellStyles>
  <dxfs count="13">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theme" Target="theme/theme1.xml"/><Relationship Id="rId3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9FC74AB6-4061-498A-A14E-354B5628FE6E}"/>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E54101BA-4454-46B1-B0BF-4A20D30C9C57}"/>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78EEEFAC-A07B-4E78-9D50-CB2F21312880}"/>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6C780CC8-DF54-4A79-B1B5-05552769E1DF}"/>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F3625A1D-F5E8-4965-B167-1A72E1ECA8FB}"/>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6299D48A-4E5F-47B2-A1A2-F9776BA0E560}"/>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CB5890CA-D1AD-49A3-8D1B-DA42C1E79231}"/>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183F9271-C50F-487C-BD16-74EE8F911652}"/>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C43B69F3-6938-491F-B9A9-8B1BAFD3345E}"/>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286DC5B0-273E-47AF-83B6-1C03DEEC8B08}"/>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403BD5C7-38E4-4404-BEB1-893478FABCA9}"/>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CBE62F25-F7C1-4114-B1E9-42C6529BBA3B}"/>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DC2C6A24-855C-4F22-9682-B21BF5B37080}"/>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017402D0-88EC-4002-A890-80F20DCE4539}"/>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477AECF9-B993-4239-AE76-D9A498CEFC49}"/>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62EAF8D5-4882-4BA7-BBA0-2B445B757D6B}"/>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4E1C001E-7DFD-4A20-84EC-126DF8E81F6B}"/>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913E4313-15CB-40DE-AFD9-228F2DD72FC4}"/>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D80B5449-39EA-443B-BA1A-18B94F7012E6}"/>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B28CDC36-D3CB-4F30-B598-1774EDBE82E0}"/>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249255A8-BB9A-4195-BC39-B24716EE3AAB}"/>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E8CB8499-5956-4028-A414-103D0185F3AD}"/>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9A71A2D4-B3FE-421B-BE9C-6E074E3AFF0B}"/>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532E5C94-7836-4EE1-970F-48EC995E96C3}"/>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267DD542-BF8C-4BD2-9827-AC1121A2FF03}"/>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C4AF7BBB-4C9B-4D9C-81A1-5EF24BEB2285}"/>
            </a:ext>
          </a:extLst>
        </xdr:cNvPr>
        <xdr:cNvSpPr/>
      </xdr:nvSpPr>
      <xdr:spPr>
        <a:xfrm>
          <a:off x="232929" y="99950"/>
          <a:ext cx="14897100" cy="9980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6F3F5309-B01C-4C2C-A0BA-D5CAA3B55737}"/>
            </a:ext>
          </a:extLst>
        </xdr:cNvPr>
        <xdr:cNvSpPr/>
      </xdr:nvSpPr>
      <xdr:spPr>
        <a:xfrm>
          <a:off x="459263" y="2307854"/>
          <a:ext cx="3079749" cy="3893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4FB8AA9F-2383-4631-99DC-777FC65FBDF7}"/>
            </a:ext>
          </a:extLst>
        </xdr:cNvPr>
        <xdr:cNvSpPr/>
      </xdr:nvSpPr>
      <xdr:spPr>
        <a:xfrm>
          <a:off x="480374" y="4717554"/>
          <a:ext cx="5695949" cy="3900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DAACEB3B-C11D-4DA9-9134-10F52DB9B2F0}"/>
            </a:ext>
          </a:extLst>
        </xdr:cNvPr>
        <xdr:cNvSpPr/>
      </xdr:nvSpPr>
      <xdr:spPr>
        <a:xfrm>
          <a:off x="3817955" y="8990115"/>
          <a:ext cx="463551" cy="27107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12CA225A-4671-42ED-9323-E8C21211AD9B}"/>
            </a:ext>
          </a:extLst>
        </xdr:cNvPr>
        <xdr:cNvSpPr/>
      </xdr:nvSpPr>
      <xdr:spPr>
        <a:xfrm>
          <a:off x="3793218" y="6842579"/>
          <a:ext cx="463550" cy="463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096B68E1-FED7-4ECC-A819-D6CBC891E595}"/>
            </a:ext>
          </a:extLst>
        </xdr:cNvPr>
        <xdr:cNvSpPr/>
      </xdr:nvSpPr>
      <xdr:spPr>
        <a:xfrm>
          <a:off x="3825875" y="128968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99E1C3A5-533C-4F90-987B-4FD07ED29C9A}"/>
            </a:ext>
          </a:extLst>
        </xdr:cNvPr>
        <xdr:cNvSpPr/>
      </xdr:nvSpPr>
      <xdr:spPr>
        <a:xfrm>
          <a:off x="3825875" y="113125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65D0EB53-5032-4966-99D5-6ABE5085C445}"/>
            </a:ext>
          </a:extLst>
        </xdr:cNvPr>
        <xdr:cNvSpPr/>
      </xdr:nvSpPr>
      <xdr:spPr>
        <a:xfrm>
          <a:off x="3825875" y="4564380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64A5C7DE-7A38-4C57-BB56-8A8BB8D3CDA8}"/>
            </a:ext>
          </a:extLst>
        </xdr:cNvPr>
        <xdr:cNvSpPr/>
      </xdr:nvSpPr>
      <xdr:spPr>
        <a:xfrm>
          <a:off x="3825875" y="4405947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F4C293C5-72E8-4608-BB96-5D76DAF4D6D1}"/>
            </a:ext>
          </a:extLst>
        </xdr:cNvPr>
        <xdr:cNvSpPr/>
      </xdr:nvSpPr>
      <xdr:spPr>
        <a:xfrm>
          <a:off x="3825875" y="375856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DA9DBF06-9520-4E9E-AB14-56F785A7FDD6}"/>
            </a:ext>
          </a:extLst>
        </xdr:cNvPr>
        <xdr:cNvSpPr/>
      </xdr:nvSpPr>
      <xdr:spPr>
        <a:xfrm>
          <a:off x="3825875" y="360013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853878B0-191F-4945-879C-F42779DB46F7}"/>
            </a:ext>
          </a:extLst>
        </xdr:cNvPr>
        <xdr:cNvSpPr/>
      </xdr:nvSpPr>
      <xdr:spPr>
        <a:xfrm>
          <a:off x="486640" y="46552016"/>
          <a:ext cx="9715500" cy="42528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3875530B-3B34-4FF0-AE04-CA0A52ED26C9}"/>
            </a:ext>
          </a:extLst>
        </xdr:cNvPr>
        <xdr:cNvSpPr/>
      </xdr:nvSpPr>
      <xdr:spPr>
        <a:xfrm>
          <a:off x="3825875" y="170116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20B7C53C-7EF2-4A73-9E95-42BC13237D1A}"/>
            </a:ext>
          </a:extLst>
        </xdr:cNvPr>
        <xdr:cNvSpPr/>
      </xdr:nvSpPr>
      <xdr:spPr>
        <a:xfrm>
          <a:off x="3825875" y="154273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1C8F5671-B214-450A-921E-21776EE163F7}"/>
            </a:ext>
          </a:extLst>
        </xdr:cNvPr>
        <xdr:cNvSpPr/>
      </xdr:nvSpPr>
      <xdr:spPr>
        <a:xfrm>
          <a:off x="3825875" y="334708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C1113128-0E3B-4380-8283-8679C5FFC1E7}"/>
            </a:ext>
          </a:extLst>
        </xdr:cNvPr>
        <xdr:cNvSpPr/>
      </xdr:nvSpPr>
      <xdr:spPr>
        <a:xfrm>
          <a:off x="3825875" y="318865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E054BFE0-EAB1-4123-86E0-F69B437AE464}"/>
            </a:ext>
          </a:extLst>
        </xdr:cNvPr>
        <xdr:cNvSpPr/>
      </xdr:nvSpPr>
      <xdr:spPr>
        <a:xfrm>
          <a:off x="3825875" y="417004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CD10C83C-8742-4178-A486-570D47D35F64}"/>
            </a:ext>
          </a:extLst>
        </xdr:cNvPr>
        <xdr:cNvSpPr/>
      </xdr:nvSpPr>
      <xdr:spPr>
        <a:xfrm>
          <a:off x="3825875" y="401161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86EACD9E-DC4D-41A9-8269-68C3053C868E}"/>
            </a:ext>
          </a:extLst>
        </xdr:cNvPr>
        <xdr:cNvSpPr/>
      </xdr:nvSpPr>
      <xdr:spPr>
        <a:xfrm>
          <a:off x="3825875" y="252412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70E67EAB-4A4B-441E-B391-DA32A87C5429}"/>
            </a:ext>
          </a:extLst>
        </xdr:cNvPr>
        <xdr:cNvSpPr/>
      </xdr:nvSpPr>
      <xdr:spPr>
        <a:xfrm>
          <a:off x="3825875" y="236569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58B71D5F-1BB0-4250-83C4-9C2237062781}"/>
            </a:ext>
          </a:extLst>
        </xdr:cNvPr>
        <xdr:cNvSpPr/>
      </xdr:nvSpPr>
      <xdr:spPr>
        <a:xfrm>
          <a:off x="3825875" y="293560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F47DA1F5-2209-4795-AE23-F13D54D4737F}"/>
            </a:ext>
          </a:extLst>
        </xdr:cNvPr>
        <xdr:cNvSpPr/>
      </xdr:nvSpPr>
      <xdr:spPr>
        <a:xfrm>
          <a:off x="3825875" y="277717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A956ECAE-AEBB-4095-8E40-8CE018D2ACFF}"/>
            </a:ext>
          </a:extLst>
        </xdr:cNvPr>
        <xdr:cNvSpPr/>
      </xdr:nvSpPr>
      <xdr:spPr>
        <a:xfrm>
          <a:off x="7976870" y="35431730"/>
          <a:ext cx="463550" cy="463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1FBF4D46-D905-42BD-8542-9EE6ECE07212}"/>
            </a:ext>
          </a:extLst>
        </xdr:cNvPr>
        <xdr:cNvSpPr/>
      </xdr:nvSpPr>
      <xdr:spPr>
        <a:xfrm>
          <a:off x="3825875" y="211264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939EF790-4C95-41B7-AE0E-02A23933A5CC}"/>
            </a:ext>
          </a:extLst>
        </xdr:cNvPr>
        <xdr:cNvSpPr/>
      </xdr:nvSpPr>
      <xdr:spPr>
        <a:xfrm>
          <a:off x="3825875" y="195421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6B651A98-196F-45AE-8019-3499354977FC}"/>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B3A6FBA3-BDD3-4759-9148-E1E6481BC98F}"/>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B40FA42A-DB81-4325-9AB3-DC6021D43C94}"/>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38E04067-8CAA-48F0-8B85-C1E1A146EE70}"/>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5F1D1EEF-30CC-4C96-891F-142C592D5883}"/>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786E7064-BD7C-4D45-8EB0-6963851B1A54}"/>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9826ABCB-9A78-4FEF-BF6F-B090CB42E4EE}"/>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679AA707-E370-4B54-91F9-C0F22B47903B}"/>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730F0558-5DF6-417F-97C2-A997FDC9F902}"/>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BE12C3C5-539F-40A2-8D04-9E6CB9BD5925}"/>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9D0B40A5-53ED-4FF2-BFAA-CBC6A2585052}"/>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16F11969-AE37-4173-9ECD-55E8B3B55B5A}"/>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968BE8B9-AE59-40B7-A60E-3BD60300B51F}"/>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A9447D7D-0097-453E-9DD5-C4976FC148B4}"/>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C2DC42AD-A383-4A62-AE1B-215129EFF607}"/>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DBCACF31-9CBE-4823-905D-028E51516417}"/>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D1246701-05A4-45A4-975B-BA2FBCD1C5FB}"/>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9C46469D-25AA-46AA-9B7C-FE6CBB690D83}"/>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474F1D82-198D-4E4A-BE87-84F49E91D09D}"/>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3E3B11F4-B90E-40E2-A0EE-41861DB303C8}"/>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9A69D2D5-FDDC-4927-8E0B-D3ADA1056013}"/>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7D2328A6-043E-4338-A4DA-E93B245EC203}"/>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DF01194E-F953-4720-94FE-F4654E192E61}"/>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B08D753C-76E2-43F8-8F0A-9F9E570CEA1A}"/>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D92F7C79-77F1-43E4-AF6D-5F72445AD512}"/>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39BB9A29-7515-4037-ACBF-03716F1F4261}"/>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976EA2E4-35D9-418F-8FCC-D20DECE3063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92435613-FD6C-434B-8BB0-F857FD3B20CF}"/>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88E936FC-41BD-4839-B0EE-43722C7C1A80}"/>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1A057C56-8D6F-41F7-9FA4-56E74B21B6A4}"/>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D91F1D6A-8158-41AE-96AD-67C2853231FC}"/>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88804A6E-FC80-4854-A968-D88DD206F020}"/>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1B0E63C6-A130-4D5E-A4FE-2C3662C3C9CE}"/>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F02996B9-1449-4796-82AA-1CAF062E39C5}"/>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DFFE6FFD-90D6-475F-98E1-4C24ECA88EB8}"/>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CC50186B-1828-420C-B7B2-0E8F6C1F9D7B}"/>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DF7EBE2C-9E06-4682-AEBC-21A9BA3DB39A}"/>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620F920C-559E-415B-8226-7C0CEDD41652}"/>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B32511A9-6B17-4DEB-B72E-E0A1E401ABC2}"/>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A076B631-0D4D-4727-8184-6CAC0D994E94}"/>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BC0A5D01-CB5A-4409-8206-C8C5AAE60CD6}"/>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638456C7-871C-4EE9-8B77-7FBD93A3D2AB}"/>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69F211E8-188B-40AF-BDFF-EC28B68D5DB9}"/>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00E0EF34-63EE-4455-8819-D9DC852E5A48}"/>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93ED7133-A575-4F27-9478-23ACEDA3BC0D}"/>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EC6C47A2-802F-4CFE-A162-14966DDFA219}"/>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D834EA31-C597-4653-B818-293BB771EE6E}"/>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D858B2A2-6726-4B3E-AC89-F9AEA4D50779}"/>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3C32D53C-85B0-4FBD-8B1B-AE22AAD8026A}"/>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28E987BA-46B7-47F9-91B3-37ACCEE907AC}"/>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041F4594-22E2-437C-A8BB-1DFF4C10EBB9}"/>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BA69CEAD-B16D-49A2-AEF8-F866A7A903FE}"/>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4DF39758-85E4-4390-935D-B72D7CF57311}"/>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87F1870C-E544-4BC1-BEF5-689B140D8735}"/>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21AB3A2F-D7CD-485F-8AFF-3A688CD1EE49}"/>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83CA529D-DF59-4BB9-82BF-66FF0B8ED13B}"/>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A31831A1-4F84-4302-BA6D-93FD6D55C9CD}"/>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45647F19-8FF4-47E7-B39E-EF274637F114}"/>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98F0E0D4-3A6A-4C92-8E3A-78D4B9955E54}"/>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A5D70B6A-7BF6-4334-AFCE-5B2947BB9DDF}"/>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BF12DB58-FD23-4999-953C-8CFC20C3CE7B}"/>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0EF23A15-A611-4A9D-B211-2FB1596E6A24}"/>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5DCC7E5D-C44E-4735-A453-BBEA8BD77CD1}"/>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A823800A-AC83-416D-932F-E86DC3E527D6}"/>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65EBA0A7-34C9-44F0-BAA7-A0B85A639767}"/>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6C19C637-C4F3-409C-9271-22CC3BD3B324}"/>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FDACC6F1-91B8-45A3-9B58-452D1674BA5C}"/>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DAC089CA-1A6C-483C-910F-36DFB129A0E8}"/>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B1323D30-B90D-49A5-88EE-BF166DBD67A3}"/>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8D8105BA-4051-4780-A23E-8DC4B89A9E7F}"/>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2B65142C-3B53-4094-841F-02BA662E8266}"/>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6FD7C2A5-14F2-400A-AAE9-769F76CA5C82}"/>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4182B6E3-D1C7-4D86-9BC4-C554194D1647}"/>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D3B7F7BC-7F9D-4124-8890-93E70155FBD5}"/>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4208A3F7-532D-4CB6-A17A-A5401F958155}"/>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4BBB4D3E-5D50-441A-B578-974BFE2B216B}"/>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EBF8BD65-05D8-479C-A389-A0FD72B702B3}"/>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6E9CA7-C668-4F67-8496-E61623786098}"/>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E61236E4-E0BD-4588-9FF1-2C868E0A8EA7}"/>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E0105940-B5D2-466D-940F-0C7E2551025B}"/>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30D442F7-BC3B-46C4-853F-77FCB3F38EC1}"/>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22452069-F65B-4828-B799-18D65DF9B3C0}"/>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C175D9A8-EBB3-438A-B61A-20527B61FFF6}"/>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5F1B7CB2-A53D-47E9-88BB-15025885DD33}"/>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3484FFB8-7AA2-4C69-A39B-18D0474E196C}"/>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7878C9FA-BC4D-4184-9609-2F087109A9DC}"/>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B8DAB0EC-932C-447E-A645-7745160E806D}"/>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2633BAAD-A062-4938-BAFA-A34B8241AC3B}"/>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3C007CD2-CD77-44E7-B473-714041F8FC27}"/>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95AD348D-D72D-441D-9076-C27910BA943F}"/>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67B8E236-84E2-4A96-8150-D915322174A8}"/>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2C82A988-1754-4170-907D-FF57ABF00E49}"/>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10612010-36BD-4CD3-A1E5-51EA3209655B}"/>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7E7512F6-CC7C-4244-BADE-4108B49BDEA6}"/>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39EA87D5-AE5E-40AE-A1E0-C11860265F8F}"/>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D35D7AAC-05F2-4A43-8993-7A396BCD2ADA}"/>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8D90CD57-CFCE-42CF-99CD-F09CECDCCA5E}"/>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E400C83F-AF87-421A-8EFB-1AF28FB03394}"/>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AE99884F-966D-4562-872F-15B79EE5678E}"/>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79CF5D76-D4BF-4E7A-AD51-1B3F9D910256}"/>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9563B0C2-3894-4D6D-BEC5-19FDEA20E63B}"/>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44D2260B-C5F6-4E91-82BC-8377044E00D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2B544E30-A0E3-4E5F-A9FA-222AE8309C2C}"/>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A8C533D0-33DD-4971-ABB6-2BB454D42B2B}"/>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CB6B3141-6A0E-43C1-9008-863D2C02003A}"/>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D22CDBA1-DBB6-4DAF-9E10-11322DB363D4}"/>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CF849FE7-C100-4A5C-BE20-C8972CC78783}"/>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B54F037E-323E-4A0A-A5FE-D5BB607C3837}"/>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3BD4DEF8-61A8-4082-831E-D9528FCF4336}"/>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E30B857C-7E7D-4ADE-A201-5ABFCE422BCA}"/>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82F91716-4870-4505-92EA-F997C3AE72B9}"/>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7A608596-9588-46AE-B700-1DECF028C29D}"/>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28B0633B-9D24-43C9-B605-D2BF957E2913}"/>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CC38965A-6536-42E0-9DD9-F13F22F4FE15}"/>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8331770B-A834-4F28-B39B-E8841EA8B5CE}"/>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3BDB042D-F08D-45D8-8209-468CC63C2458}"/>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4BCB3160-4214-4435-BAA1-E9B5C75CEB33}"/>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8BCAD6BB-7E09-456E-956A-D63EA2459EDB}"/>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4BFF3D26-8240-41A9-B115-C1B15D2AD50B}"/>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2A29F1A9-060A-4361-87F9-D58C29F49E46}"/>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67EBFB51-6A15-4337-A470-3EA85835D94D}"/>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8BBDF6D2-6976-43A4-ADA6-B4D9B8596DAF}"/>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D07CEA82-4EFA-4B37-A81F-680C288B9B9A}"/>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E319158D-B76F-4978-ACAE-A9AF62F3A634}"/>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A16E6068-CC97-41C2-B0D2-B299C74C2911}"/>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52CD7F09-0BEF-4D0F-AAD4-B4E2E47F9280}"/>
            </a:ext>
          </a:extLst>
        </xdr:cNvPr>
        <xdr:cNvSpPr/>
      </xdr:nvSpPr>
      <xdr:spPr>
        <a:xfrm>
          <a:off x="232929" y="99950"/>
          <a:ext cx="14897100" cy="9980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6699162C-1C8E-498F-8B09-59C0667A7E6B}"/>
            </a:ext>
          </a:extLst>
        </xdr:cNvPr>
        <xdr:cNvSpPr/>
      </xdr:nvSpPr>
      <xdr:spPr>
        <a:xfrm>
          <a:off x="459263" y="2307854"/>
          <a:ext cx="3079749" cy="3893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B5FDE326-CEDD-469E-B768-7933ECD229D0}"/>
            </a:ext>
          </a:extLst>
        </xdr:cNvPr>
        <xdr:cNvSpPr/>
      </xdr:nvSpPr>
      <xdr:spPr>
        <a:xfrm>
          <a:off x="480374" y="4717554"/>
          <a:ext cx="5695949" cy="3900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EF8650D5-00A3-47E7-A2D0-299B6A39354A}"/>
            </a:ext>
          </a:extLst>
        </xdr:cNvPr>
        <xdr:cNvSpPr/>
      </xdr:nvSpPr>
      <xdr:spPr>
        <a:xfrm>
          <a:off x="3817955" y="8990115"/>
          <a:ext cx="463551" cy="27107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573F9119-40EF-445E-939E-0C816596023E}"/>
            </a:ext>
          </a:extLst>
        </xdr:cNvPr>
        <xdr:cNvSpPr/>
      </xdr:nvSpPr>
      <xdr:spPr>
        <a:xfrm>
          <a:off x="3793218" y="6842579"/>
          <a:ext cx="463550" cy="463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C77C0355-5AEB-471B-A53B-B1DC922FD445}"/>
            </a:ext>
          </a:extLst>
        </xdr:cNvPr>
        <xdr:cNvSpPr/>
      </xdr:nvSpPr>
      <xdr:spPr>
        <a:xfrm>
          <a:off x="3825875" y="128968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F0AD1458-EE66-4437-9098-FA6979D643A6}"/>
            </a:ext>
          </a:extLst>
        </xdr:cNvPr>
        <xdr:cNvSpPr/>
      </xdr:nvSpPr>
      <xdr:spPr>
        <a:xfrm>
          <a:off x="3825875" y="113125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D8BB8438-E797-499F-B236-A9AF11A9D38E}"/>
            </a:ext>
          </a:extLst>
        </xdr:cNvPr>
        <xdr:cNvSpPr/>
      </xdr:nvSpPr>
      <xdr:spPr>
        <a:xfrm>
          <a:off x="3825875" y="4564380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79910480-FEAD-40E7-B6FC-601C7971FAC2}"/>
            </a:ext>
          </a:extLst>
        </xdr:cNvPr>
        <xdr:cNvSpPr/>
      </xdr:nvSpPr>
      <xdr:spPr>
        <a:xfrm>
          <a:off x="3825875" y="4405947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9BDB94F9-6697-4319-8BF8-5B1877FDF26C}"/>
            </a:ext>
          </a:extLst>
        </xdr:cNvPr>
        <xdr:cNvSpPr/>
      </xdr:nvSpPr>
      <xdr:spPr>
        <a:xfrm>
          <a:off x="3825875" y="375856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EC7BF5ED-F779-4EDA-8474-A84D905A954C}"/>
            </a:ext>
          </a:extLst>
        </xdr:cNvPr>
        <xdr:cNvSpPr/>
      </xdr:nvSpPr>
      <xdr:spPr>
        <a:xfrm>
          <a:off x="3825875" y="360013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3793113F-506E-4919-BE9E-D4A36272D953}"/>
            </a:ext>
          </a:extLst>
        </xdr:cNvPr>
        <xdr:cNvSpPr/>
      </xdr:nvSpPr>
      <xdr:spPr>
        <a:xfrm>
          <a:off x="486640" y="46552016"/>
          <a:ext cx="9715500" cy="42528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F26DF481-A82E-4E66-9AD2-5460FEFF82B6}"/>
            </a:ext>
          </a:extLst>
        </xdr:cNvPr>
        <xdr:cNvSpPr/>
      </xdr:nvSpPr>
      <xdr:spPr>
        <a:xfrm>
          <a:off x="3825875" y="170116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ED6B8DC5-DAD7-4502-A0C8-E747476CF230}"/>
            </a:ext>
          </a:extLst>
        </xdr:cNvPr>
        <xdr:cNvSpPr/>
      </xdr:nvSpPr>
      <xdr:spPr>
        <a:xfrm>
          <a:off x="3825875" y="154273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BC9A2007-C93D-410D-8879-FFB3C85036B0}"/>
            </a:ext>
          </a:extLst>
        </xdr:cNvPr>
        <xdr:cNvSpPr/>
      </xdr:nvSpPr>
      <xdr:spPr>
        <a:xfrm>
          <a:off x="3825875" y="334708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1CC50579-2F46-493A-B6FA-5C0708846AF6}"/>
            </a:ext>
          </a:extLst>
        </xdr:cNvPr>
        <xdr:cNvSpPr/>
      </xdr:nvSpPr>
      <xdr:spPr>
        <a:xfrm>
          <a:off x="3825875" y="318865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FCCA0836-9E8C-4097-AC62-392381E80ACF}"/>
            </a:ext>
          </a:extLst>
        </xdr:cNvPr>
        <xdr:cNvSpPr/>
      </xdr:nvSpPr>
      <xdr:spPr>
        <a:xfrm>
          <a:off x="3825875" y="417004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E01AEBF5-EA04-4B00-9DE6-389074CFB937}"/>
            </a:ext>
          </a:extLst>
        </xdr:cNvPr>
        <xdr:cNvSpPr/>
      </xdr:nvSpPr>
      <xdr:spPr>
        <a:xfrm>
          <a:off x="3825875" y="401161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DBAEBCEF-B33A-4C1D-8FBC-FD9CA0DC3EA8}"/>
            </a:ext>
          </a:extLst>
        </xdr:cNvPr>
        <xdr:cNvSpPr/>
      </xdr:nvSpPr>
      <xdr:spPr>
        <a:xfrm>
          <a:off x="3825875" y="252412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A2778C8A-AEE5-426B-ABD8-A1A9D9C2C67E}"/>
            </a:ext>
          </a:extLst>
        </xdr:cNvPr>
        <xdr:cNvSpPr/>
      </xdr:nvSpPr>
      <xdr:spPr>
        <a:xfrm>
          <a:off x="3825875" y="236569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C6232EAA-C25E-4E14-ABE8-2B48BD3F8128}"/>
            </a:ext>
          </a:extLst>
        </xdr:cNvPr>
        <xdr:cNvSpPr/>
      </xdr:nvSpPr>
      <xdr:spPr>
        <a:xfrm>
          <a:off x="3825875" y="293560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9A2F3830-65D0-4818-96C8-BA7B69A27D4E}"/>
            </a:ext>
          </a:extLst>
        </xdr:cNvPr>
        <xdr:cNvSpPr/>
      </xdr:nvSpPr>
      <xdr:spPr>
        <a:xfrm>
          <a:off x="3825875" y="277717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10210DF1-2750-4119-96AA-16A2ADE06827}"/>
            </a:ext>
          </a:extLst>
        </xdr:cNvPr>
        <xdr:cNvSpPr/>
      </xdr:nvSpPr>
      <xdr:spPr>
        <a:xfrm>
          <a:off x="7976870" y="35431730"/>
          <a:ext cx="463550" cy="463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B6DBC6E0-62AD-491B-ADB5-9B0C0CC5DAF3}"/>
            </a:ext>
          </a:extLst>
        </xdr:cNvPr>
        <xdr:cNvSpPr/>
      </xdr:nvSpPr>
      <xdr:spPr>
        <a:xfrm>
          <a:off x="3825875" y="211264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4025607E-B8AB-49DD-BCB3-14B47D85F60F}"/>
            </a:ext>
          </a:extLst>
        </xdr:cNvPr>
        <xdr:cNvSpPr/>
      </xdr:nvSpPr>
      <xdr:spPr>
        <a:xfrm>
          <a:off x="3825875" y="195421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089FC7B7-1167-479E-8509-81F6DF193B1F}"/>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B83C6B30-7724-44A7-B894-5AA302BA541A}"/>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E812AF72-3FE9-445F-B701-30C9EB91B15B}"/>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3C373563-5EA2-4B44-8AE7-AEF64BB39120}"/>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12074DD6-1F53-4480-812C-6E03506B1637}"/>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8BE12238-8DC3-4604-8301-771F3BA4D272}"/>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8BCD0015-2D6C-45F6-9835-76B4B6444F9B}"/>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B4529877-816A-43B8-8693-2AC61C768597}"/>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13052243-8ABA-4374-A08A-C0B4F0181F42}"/>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C8476CA7-58CF-4C09-9117-6B40C438E5F2}"/>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1E9F7502-6462-40FD-AA47-505BF2B0CC41}"/>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6ADC4313-1C66-4308-A287-69E7CB8C3E39}"/>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64D789C7-371C-4F70-9017-389E3A778156}"/>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422D5A2B-8DF2-4CC7-9140-34C1DCB9CD7E}"/>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0926685D-3935-4414-9239-17A420545DD3}"/>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4C9984EB-35C7-4443-AC41-A0828CA984DF}"/>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CF866B92-405E-495B-8A9F-BAE2EBFF282A}"/>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61A4A365-1C50-4DD2-8F37-9FF306AED86B}"/>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7F6BBADB-41C4-4D10-8438-59933D99AAE3}"/>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1F94BBE5-DB34-4814-AC6E-9E354614D2FE}"/>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1B8192DA-8B67-4403-8F89-406A7934975D}"/>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BAAA59D0-0F0D-4C5D-AC15-4107BA645378}"/>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EE200AC0-0815-414C-A4E1-A52950B1EFA5}"/>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4C9C9123-97D8-40E8-AA8B-F944519F6B30}"/>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FB42A158-FD10-4B14-9CAF-46E606D449AF}"/>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C141FE76-EF30-4AC0-B182-F8240F8FAAC1}"/>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85E6BCA4-1705-4937-8BCC-3C23E96CA1DC}"/>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A503BD9E-E0B7-4475-9D2E-5321F2D87D1C}"/>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5CDE06B2-84D5-43E3-BC6E-470A16587C6F}"/>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DF0E2D2C-4444-4C09-8E17-E9562404F532}"/>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2EF3F638-C6D7-4336-91E5-16CE80D5A680}"/>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9399FBBE-14A1-4992-BC82-F7D75438159A}"/>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4C02A5B1-C90A-449F-8FB6-D3726B42C0F0}"/>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E04DC3D4-2924-43FD-9599-7DD29635B1EF}"/>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6C0986C7-38EB-4F9F-874B-BFF41266ED11}"/>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E46D1335-FDE0-4110-A085-5706E97CA677}"/>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3B94E1AB-07EB-4511-9AE1-C528576956C3}"/>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822B3F66-48F3-4B46-B4E1-056A12ABE99C}"/>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18E85FB7-E3FB-4230-9632-93E010FF90D6}"/>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813CA75F-062F-4F99-BEE9-35CDBC57A9D1}"/>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FBC4749F-6E0C-4BB2-86A8-2088BFF022FF}"/>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24BE86A3-94DE-429C-9FAC-7CE87D75D0AB}"/>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FF237A44-2140-4F5E-BEB8-B46FE9FA1BA8}"/>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DFF73699-AAEE-4FAC-99F6-26748E99EC75}"/>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294D1560-E03B-4EFF-BA64-0558B381B4DA}"/>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8EB6178D-4FCB-442E-A772-C28EAA56D462}"/>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D7FD5081-F834-406B-94D9-78A1F29D3468}"/>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D0018E6C-F24F-440C-BE33-6EFA891BD435}"/>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55C06B2D-0934-47EB-BA51-9B597BE01330}"/>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BF18807F-BB99-4157-8BA6-0EBB015394A8}"/>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D122FE5D-8CD8-46A8-B100-DD9A41DC787B}"/>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1B9CB21C-6873-451D-9B52-59E03A21B1B1}"/>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8A1CF761-F0C2-4E2E-A698-459E9969B929}"/>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584B7B16-1679-441D-91B8-B7A252D9BEEC}"/>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8CEE3567-8AE7-4BA2-9CC0-E729D3101237}"/>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98E144E2-A409-45DB-8012-31B1AB30C542}"/>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0523B8EC-145C-4ED0-BB10-65D57848E76A}"/>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AFBA69C0-8AA9-48EA-8EEF-5E205A7118E7}"/>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93D9A5FA-26E7-41F4-B582-391971A70BFA}"/>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24466CC3-7474-4C4A-AC05-550614B0D0E1}"/>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CADD7DDF-1E55-4049-8FC5-57274B0BFBA2}"/>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33AAFA88-7305-47D3-8D7E-49105F48D616}"/>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7B6E66BA-B08A-4C37-9C6D-46729BF662ED}"/>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F762D266-3648-4255-AA60-DD9531646DF3}"/>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FAD1498F-118F-4FA4-A257-1173911B47EE}"/>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132B8A52-DD81-4579-86A5-7E1CD598F62D}"/>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A880B540-064D-4911-83C3-356A82704214}"/>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B78BD0FC-8E19-4A8F-855E-A14DE3AA0396}"/>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52CB54C1-99B6-4E84-9B3E-284CBCA7A891}"/>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1816DB78-64A2-40FD-9FFC-DA28B50FF908}"/>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F37843EA-00AB-41DB-AABC-02E4FE69822C}"/>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C7EEBF25-4009-4F26-B271-2DEE942F1FF8}"/>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9040D013-FBB6-412C-8638-8ACDB76B6C27}"/>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08DAE084-5160-40E0-A1AF-73AEDE4EE378}"/>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8305DD33-0EDD-438E-9B39-1D81234DE308}"/>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C883A7B4-8036-4B79-BA07-64A289E95989}"/>
            </a:ext>
          </a:extLst>
        </xdr:cNvPr>
        <xdr:cNvSpPr/>
      </xdr:nvSpPr>
      <xdr:spPr>
        <a:xfrm>
          <a:off x="232929" y="99950"/>
          <a:ext cx="14897100" cy="9980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E170A745-D3BF-4F4B-A41E-017941B023C9}"/>
            </a:ext>
          </a:extLst>
        </xdr:cNvPr>
        <xdr:cNvSpPr/>
      </xdr:nvSpPr>
      <xdr:spPr>
        <a:xfrm>
          <a:off x="459263" y="2307854"/>
          <a:ext cx="3079749" cy="3893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4A581C34-1A7C-4292-B091-5A1DDEF58425}"/>
            </a:ext>
          </a:extLst>
        </xdr:cNvPr>
        <xdr:cNvSpPr/>
      </xdr:nvSpPr>
      <xdr:spPr>
        <a:xfrm>
          <a:off x="480374" y="4717554"/>
          <a:ext cx="5695949" cy="3900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6FD7DE24-4149-458C-A6C7-3C7AC61E0031}"/>
            </a:ext>
          </a:extLst>
        </xdr:cNvPr>
        <xdr:cNvSpPr/>
      </xdr:nvSpPr>
      <xdr:spPr>
        <a:xfrm>
          <a:off x="3817955" y="8990115"/>
          <a:ext cx="463551" cy="27107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6AD33732-9985-467D-8459-9EE25B678AC7}"/>
            </a:ext>
          </a:extLst>
        </xdr:cNvPr>
        <xdr:cNvSpPr/>
      </xdr:nvSpPr>
      <xdr:spPr>
        <a:xfrm>
          <a:off x="3793218" y="6842579"/>
          <a:ext cx="463550" cy="463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73627E8B-7444-4A98-96CF-ECD7121B13BB}"/>
            </a:ext>
          </a:extLst>
        </xdr:cNvPr>
        <xdr:cNvSpPr/>
      </xdr:nvSpPr>
      <xdr:spPr>
        <a:xfrm>
          <a:off x="3825875" y="128968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B8587D60-E94E-4A26-BF1E-3A01CC359908}"/>
            </a:ext>
          </a:extLst>
        </xdr:cNvPr>
        <xdr:cNvSpPr/>
      </xdr:nvSpPr>
      <xdr:spPr>
        <a:xfrm>
          <a:off x="3825875" y="113125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97DCBB26-9FCD-4C3D-9C97-2BA7D961E577}"/>
            </a:ext>
          </a:extLst>
        </xdr:cNvPr>
        <xdr:cNvSpPr/>
      </xdr:nvSpPr>
      <xdr:spPr>
        <a:xfrm>
          <a:off x="3825875" y="4564380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7ED7A354-5EB2-4CBD-9A7C-AF5A22513DCE}"/>
            </a:ext>
          </a:extLst>
        </xdr:cNvPr>
        <xdr:cNvSpPr/>
      </xdr:nvSpPr>
      <xdr:spPr>
        <a:xfrm>
          <a:off x="3825875" y="4405947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B75B2669-FDEA-4D89-A763-D9DBA504766B}"/>
            </a:ext>
          </a:extLst>
        </xdr:cNvPr>
        <xdr:cNvSpPr/>
      </xdr:nvSpPr>
      <xdr:spPr>
        <a:xfrm>
          <a:off x="3825875" y="375856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9CAD1AE1-F180-4C92-AE3F-6093863E0CD2}"/>
            </a:ext>
          </a:extLst>
        </xdr:cNvPr>
        <xdr:cNvSpPr/>
      </xdr:nvSpPr>
      <xdr:spPr>
        <a:xfrm>
          <a:off x="3825875" y="360013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C453B132-8163-47F3-A7F9-ECD6C075DFC1}"/>
            </a:ext>
          </a:extLst>
        </xdr:cNvPr>
        <xdr:cNvSpPr/>
      </xdr:nvSpPr>
      <xdr:spPr>
        <a:xfrm>
          <a:off x="486640" y="46552016"/>
          <a:ext cx="9715500" cy="42528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A3F7E72E-60F4-4B4F-B331-E5AC93292769}"/>
            </a:ext>
          </a:extLst>
        </xdr:cNvPr>
        <xdr:cNvSpPr/>
      </xdr:nvSpPr>
      <xdr:spPr>
        <a:xfrm>
          <a:off x="3825875" y="170116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99723841-B30C-4275-95C5-504A1A80939F}"/>
            </a:ext>
          </a:extLst>
        </xdr:cNvPr>
        <xdr:cNvSpPr/>
      </xdr:nvSpPr>
      <xdr:spPr>
        <a:xfrm>
          <a:off x="3825875" y="154273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770D2833-1450-4053-862D-EB8B638E294F}"/>
            </a:ext>
          </a:extLst>
        </xdr:cNvPr>
        <xdr:cNvSpPr/>
      </xdr:nvSpPr>
      <xdr:spPr>
        <a:xfrm>
          <a:off x="3825875" y="334708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D68AE40B-5593-4251-B019-BC4F62CE4B46}"/>
            </a:ext>
          </a:extLst>
        </xdr:cNvPr>
        <xdr:cNvSpPr/>
      </xdr:nvSpPr>
      <xdr:spPr>
        <a:xfrm>
          <a:off x="3825875" y="318865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3189E9F1-1F9F-45E5-AE55-F37F8066A880}"/>
            </a:ext>
          </a:extLst>
        </xdr:cNvPr>
        <xdr:cNvSpPr/>
      </xdr:nvSpPr>
      <xdr:spPr>
        <a:xfrm>
          <a:off x="3825875" y="417004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EB3BC7FC-4F19-4798-8817-3F58C1542661}"/>
            </a:ext>
          </a:extLst>
        </xdr:cNvPr>
        <xdr:cNvSpPr/>
      </xdr:nvSpPr>
      <xdr:spPr>
        <a:xfrm>
          <a:off x="3825875" y="401161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B2E2513D-9A42-4874-9802-527B9A4C3A88}"/>
            </a:ext>
          </a:extLst>
        </xdr:cNvPr>
        <xdr:cNvSpPr/>
      </xdr:nvSpPr>
      <xdr:spPr>
        <a:xfrm>
          <a:off x="3825875" y="252412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5085E584-8A37-4113-B6B4-F4AFFBF6483E}"/>
            </a:ext>
          </a:extLst>
        </xdr:cNvPr>
        <xdr:cNvSpPr/>
      </xdr:nvSpPr>
      <xdr:spPr>
        <a:xfrm>
          <a:off x="3825875" y="236569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298BC821-6A81-4BFC-804D-195F03CAAA0A}"/>
            </a:ext>
          </a:extLst>
        </xdr:cNvPr>
        <xdr:cNvSpPr/>
      </xdr:nvSpPr>
      <xdr:spPr>
        <a:xfrm>
          <a:off x="3825875" y="293560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C1A1F68B-B406-4DD8-BDFF-E58F8417392F}"/>
            </a:ext>
          </a:extLst>
        </xdr:cNvPr>
        <xdr:cNvSpPr/>
      </xdr:nvSpPr>
      <xdr:spPr>
        <a:xfrm>
          <a:off x="3825875" y="277717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E4C94A75-DD26-481E-91F2-DF8BCAAC5D7A}"/>
            </a:ext>
          </a:extLst>
        </xdr:cNvPr>
        <xdr:cNvSpPr/>
      </xdr:nvSpPr>
      <xdr:spPr>
        <a:xfrm>
          <a:off x="7976870" y="35431730"/>
          <a:ext cx="463550" cy="463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1D3E7B2D-7E88-43CA-B2FD-D76200663C58}"/>
            </a:ext>
          </a:extLst>
        </xdr:cNvPr>
        <xdr:cNvSpPr/>
      </xdr:nvSpPr>
      <xdr:spPr>
        <a:xfrm>
          <a:off x="3825875" y="211264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2BAFA491-B018-4460-B6D8-17347E7C401F}"/>
            </a:ext>
          </a:extLst>
        </xdr:cNvPr>
        <xdr:cNvSpPr/>
      </xdr:nvSpPr>
      <xdr:spPr>
        <a:xfrm>
          <a:off x="3825875" y="195421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CF023CE1-FFDA-4B4C-879A-62030C55C9E4}"/>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93FA650B-4809-4AE6-A160-4A2B702BF22D}"/>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5E8BB754-9B19-46F4-89BE-5D674D8877D3}"/>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18DB1B97-5565-4846-9222-B78DD8A0B5FF}"/>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249AEA0F-1E7B-4870-91F1-5C70937244D6}"/>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E6015E71-47C0-4192-98F9-7C15010D6038}"/>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502E18D8-DE2C-4934-8E0B-25F15F61019A}"/>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70E254EF-6D7B-4334-A06B-17C9705B1491}"/>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6425E470-E02B-4278-96AC-A49E6531FD13}"/>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BE899450-F988-46B5-AECF-41A595B2473E}"/>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3256C0C6-217B-4824-835D-8540A7F74BCC}"/>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32E06AEB-9C43-403F-BFE7-BB09D2BB24F1}"/>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5F6CB1C7-5A7A-47DE-8121-548509C17985}"/>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EC817093-69BD-409D-8B51-E6F5CF69651D}"/>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11E21E45-C76E-4861-8D09-0AD04CBE78DB}"/>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C6323BF3-A52E-49B0-B932-7B1A7EBE7905}"/>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B739C415-BC4D-4EE1-8B06-615CCAF18982}"/>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C472B80F-A119-430C-A07E-B7C886FE7DEF}"/>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792F1EC8-A19D-4E0C-8DAC-5DE26DE8AA09}"/>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66EDCA61-DF8E-47F1-A1D8-2E8789139CC3}"/>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E3D8205B-7F3F-4908-A2EB-69CFBDAFD35F}"/>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132EB2BC-50F0-462F-B5E6-7DEF93359E75}"/>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28F5CF8F-DB0C-4D33-9039-445126FB3381}"/>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DA42DBF4-04F5-4BFC-BD5D-1B1E6C9D8504}"/>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EE4B3763-3FA6-4BF8-8B68-AD51844822C6}"/>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04%20&#22823;&#39208;&#24066;&#9675;/03_&#35519;&#26619;&#31080;&#65288;&#22823;&#39208;&#24066;&#12539;&#19979;&#27700;&#36947;&#20107;&#26989;&#12539;&#20844;&#20849;&#19979;&#27700;&#36947;&#6528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04%20&#22823;&#39208;&#24066;&#9675;/03_&#35519;&#26619;&#31080;&#65288;&#22823;&#39208;&#24066;&#12539;&#20844;&#35373;&#21368;&#22770;&#24066;&#22580;&#20107;&#26989;&#6528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04%20&#22823;&#39208;&#24066;&#9675;/&#12304;&#27700;&#36947;&#20107;&#26989;&#12305;03%20&#35519;&#26619;&#31080;&#65288;R2&#25244;&#26412;&#25913;&#38761;&#35519;&#26619;&#6528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04%20&#22823;&#39208;&#24066;&#9675;/03_&#35519;&#26619;&#31080;&#65288;&#22823;&#39208;&#24066;&#12539;&#39376;&#36554;&#22580;&#25972;&#20633;&#20107;&#26989;&#65289;.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04%20&#22823;&#39208;&#24066;&#9675;/03_&#35519;&#26619;&#31080;&#65288;&#22823;&#39208;&#24066;&#12539;&#30149;&#38498;&#20107;&#26989;&#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04%20&#22823;&#39208;&#24066;&#9675;/03_&#35519;&#26619;&#31080;&#65288;&#22823;&#39208;&#24066;&#12539;&#19979;&#27700;&#36947;&#20107;&#26989;&#12539;&#29305;&#29872;&#19979;&#27700;&#36947;&#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04%20&#22823;&#39208;&#24066;&#9675;/03_&#35519;&#26619;&#31080;&#65288;&#22823;&#39208;&#24066;&#12539;&#19979;&#27700;&#36947;&#20107;&#26989;&#12539;&#25144;&#21029;&#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04%20&#22823;&#39208;&#24066;&#9675;/03_&#35519;&#26619;&#31080;&#65288;&#22823;&#39208;&#24066;&#12539;&#19979;&#27700;&#36947;&#20107;&#26989;&#12539;&#36786;&#38598;&#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04%20&#22823;&#39208;&#24066;&#9675;/03_&#35519;&#26619;&#31080;&#65288;&#22823;&#39208;&#24066;&#12539;&#20171;&#35703;&#12469;&#12540;&#12499;&#12473;&#20107;&#26989;&#12539;&#32769;&#20154;&#12487;&#12452;&#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04%20&#22823;&#39208;&#24066;&#9675;/03_&#35519;&#26619;&#31080;&#65288;&#22823;&#39208;&#24066;&#12539;&#20171;&#35703;&#12469;&#12540;&#12499;&#12473;&#20107;&#26989;&#12539;&#25351;&#23450;&#20171;&#35703;&#6528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04%20&#22823;&#39208;&#24066;&#9675;/03_&#35519;&#26619;&#31080;&#65288;&#22823;&#39208;&#24066;&#12539;&#20171;&#35703;&#12469;&#12540;&#12499;&#12473;&#20107;&#26989;&#12539;&#32769;&#20154;&#30701;&#26399;&#6528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04%20&#22823;&#39208;&#24066;&#9675;/&#12304;&#31777;&#26131;&#27700;&#36947;&#20107;&#26989;&#12305;03%20&#35519;&#26619;&#31080;&#65288;R2&#25244;&#26412;&#25913;&#38761;&#35519;&#26619;&#6528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04%20&#22823;&#39208;&#24066;&#9675;/03_&#35519;&#26619;&#31080;&#65288;&#22823;&#39208;&#24066;&#12539;&#24037;&#26989;&#29992;&#27700;&#36947;&#20107;&#26989;&#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選択肢"/>
      <sheetName val="団体コード"/>
      <sheetName val="選択肢BK"/>
    </sheetNames>
    <sheetDataSet>
      <sheetData sheetId="0">
        <row r="15">
          <cell r="K15" t="str">
            <v>大館市</v>
          </cell>
        </row>
        <row r="17">
          <cell r="F17" t="str">
            <v>下水道事業</v>
          </cell>
          <cell r="W17" t="str">
            <v>公共下水道</v>
          </cell>
          <cell r="BD17" t="str">
            <v>×</v>
          </cell>
        </row>
        <row r="19">
          <cell r="F19" t="str">
            <v>ー</v>
          </cell>
        </row>
        <row r="43">
          <cell r="R43" t="str">
            <v>○</v>
          </cell>
          <cell r="X43" t="str">
            <v xml:space="preserve"> </v>
          </cell>
          <cell r="AA43" t="str">
            <v>○</v>
          </cell>
        </row>
        <row r="201">
          <cell r="B201" t="str">
            <v>し尿受入施設を下水道終末処理場の大館処理センター敷地内に建設し、搬入されたし尿等を大館処理センターの汚泥処理系と共同処理をし、発生した脱水汚泥は秋田県の県北地区広域汚泥資源化施設で資源化する。これにより、現在の同等施設の更新建設事業費として900,000千円の削減が図られ、維持管理費等について年間70,000千円の削減が見込まれる。</v>
          </cell>
        </row>
        <row r="233">
          <cell r="Y233" t="str">
            <v>○</v>
          </cell>
        </row>
        <row r="238">
          <cell r="B238" t="str">
            <v>令和</v>
          </cell>
          <cell r="E238">
            <v>2</v>
          </cell>
        </row>
        <row r="239">
          <cell r="E239">
            <v>8</v>
          </cell>
        </row>
        <row r="240">
          <cell r="E240" t="str">
            <v xml:space="preserve"> </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sheetData>
      <sheetData sheetId="1" refreshError="1"/>
      <sheetData sheetId="2">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選択肢"/>
      <sheetName val="団体コード"/>
      <sheetName val="選択肢BK"/>
    </sheetNames>
    <sheetDataSet>
      <sheetData sheetId="0">
        <row r="15">
          <cell r="K15" t="str">
            <v>大館市</v>
          </cell>
        </row>
        <row r="17">
          <cell r="F17" t="str">
            <v>市場事業</v>
          </cell>
          <cell r="W17" t="str">
            <v>―</v>
          </cell>
          <cell r="BD17" t="str">
            <v>○</v>
          </cell>
        </row>
        <row r="19">
          <cell r="F19" t="str">
            <v>ー</v>
          </cell>
        </row>
        <row r="48">
          <cell r="R48" t="str">
            <v>○</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row r="467">
          <cell r="B467" t="str">
            <v>　現行の経営体制・手法で健全な事業運営が実施できているため。
　現状の事業規模と将来的な規模拡大の可能性を鑑み、抜本的な改革の検討に至らないため。</v>
          </cell>
        </row>
      </sheetData>
      <sheetData sheetId="1" refreshError="1"/>
      <sheetData sheetId="2">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3" refreshError="1"/>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大館市</v>
          </cell>
        </row>
        <row r="17">
          <cell r="F17" t="str">
            <v>水道事業</v>
          </cell>
          <cell r="W17" t="str">
            <v>―</v>
          </cell>
          <cell r="BD17" t="str">
            <v>×</v>
          </cell>
        </row>
        <row r="19">
          <cell r="F19" t="str">
            <v>ー</v>
          </cell>
        </row>
        <row r="41">
          <cell r="R41" t="str">
            <v xml:space="preserve"> </v>
          </cell>
          <cell r="X41" t="str">
            <v xml:space="preserve"> </v>
          </cell>
        </row>
        <row r="43">
          <cell r="R43" t="str">
            <v>○</v>
          </cell>
          <cell r="AD43" t="str">
            <v>○</v>
          </cell>
        </row>
        <row r="45">
          <cell r="R45" t="str">
            <v>○</v>
          </cell>
          <cell r="AD45" t="str">
            <v>○</v>
          </cell>
        </row>
        <row r="46">
          <cell r="R46" t="str">
            <v>○</v>
          </cell>
          <cell r="AD46" t="str">
            <v>○</v>
          </cell>
        </row>
        <row r="63">
          <cell r="G63" t="str">
            <v xml:space="preserve"> </v>
          </cell>
        </row>
        <row r="70">
          <cell r="AG70" t="str">
            <v xml:space="preserve"> </v>
          </cell>
        </row>
        <row r="249">
          <cell r="B249" t="str">
            <v>経営面などソフト部門の統合</v>
          </cell>
        </row>
        <row r="255">
          <cell r="B255" t="str">
            <v>県が主体となって検討している段階で、令和元年度は進展がなかった。施設の統合について、隣接する自治体の施設とは距離があるため困難と思われる。</v>
          </cell>
        </row>
        <row r="350">
          <cell r="B350" t="str">
            <v>料金等徴収業務</v>
          </cell>
        </row>
        <row r="356">
          <cell r="B356" t="str">
            <v>徴収料金の適正な管理や会計システムとの連携</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row r="396">
          <cell r="B396" t="str">
            <v>コンセッション方式の導入</v>
          </cell>
        </row>
        <row r="402">
          <cell r="B402" t="str">
            <v>研修会に参加するなど情報収集に努めているが、デメリットなど水道事業の不利益が生じないかを含めて慎重に検討している。</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大館市</v>
          </cell>
        </row>
        <row r="17">
          <cell r="F17" t="str">
            <v>駐車場整備事業</v>
          </cell>
          <cell r="W17" t="str">
            <v>―</v>
          </cell>
          <cell r="BD17" t="str">
            <v>○</v>
          </cell>
        </row>
        <row r="19">
          <cell r="F19" t="str">
            <v>ー</v>
          </cell>
        </row>
        <row r="41">
          <cell r="R41" t="str">
            <v>○</v>
          </cell>
          <cell r="X41" t="str">
            <v>○</v>
          </cell>
        </row>
        <row r="56">
          <cell r="B56" t="str">
            <v>公設駐車場の運営及び建設事業債の償還を実施、事業廃止後に施設の管理方法を見直したことで管理運営費△4,338千円（H26年度3月補正予算後予算額とR2年度当初予算額対比）となった。</v>
          </cell>
        </row>
        <row r="62">
          <cell r="G62" t="str">
            <v>○</v>
          </cell>
          <cell r="S62" t="str">
            <v>平成</v>
          </cell>
          <cell r="V62">
            <v>27</v>
          </cell>
        </row>
        <row r="63">
          <cell r="V63">
            <v>3</v>
          </cell>
        </row>
        <row r="64">
          <cell r="V64">
            <v>31</v>
          </cell>
        </row>
        <row r="68">
          <cell r="O68" t="str">
            <v>○</v>
          </cell>
        </row>
        <row r="69">
          <cell r="O69" t="str">
            <v>○</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大館市</v>
          </cell>
        </row>
        <row r="17">
          <cell r="F17" t="str">
            <v>病院事業</v>
          </cell>
          <cell r="W17" t="str">
            <v>―</v>
          </cell>
          <cell r="BD17" t="str">
            <v>○</v>
          </cell>
        </row>
        <row r="19">
          <cell r="F19" t="str">
            <v>ー</v>
          </cell>
        </row>
        <row r="48">
          <cell r="R48" t="str">
            <v>○</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row r="467">
          <cell r="B467" t="str">
            <v>　過去に抜本的な改革の方向性の検討を行ったものの、現行の体制が望ましいとの結論で現在に至っている。
　昨今の近隣医療機関の診療体制の縮小などからも、地域医療圏の将来の医療需要を見据えると、地域の中核病院として救急医療体制の強化や医療機能の維持は必要であり、他病院との機能分化・連携を図りながら、収益の確保に努め安定経営を目指す。</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大館市</v>
          </cell>
        </row>
        <row r="17">
          <cell r="F17" t="str">
            <v>下水道事業</v>
          </cell>
          <cell r="W17" t="str">
            <v>特定環境保全公共下水道</v>
          </cell>
          <cell r="BD17" t="str">
            <v>×</v>
          </cell>
        </row>
        <row r="19">
          <cell r="F19" t="str">
            <v>ー</v>
          </cell>
        </row>
        <row r="43">
          <cell r="R43" t="str">
            <v>○</v>
          </cell>
          <cell r="X43" t="str">
            <v xml:space="preserve"> </v>
          </cell>
          <cell r="AA43" t="str">
            <v>○</v>
          </cell>
        </row>
        <row r="46">
          <cell r="R46" t="str">
            <v>○</v>
          </cell>
          <cell r="X46" t="str">
            <v>○</v>
          </cell>
        </row>
        <row r="201">
          <cell r="B201" t="str">
            <v>　真中地区農業集落排水施設の終末処理場の老朽化に伴い大館処理区の終末処理場へ接続管等を整備する。現在の同等施設の更新建設事業費と大館処理区終末処理場への接続管渠等の整備事業と比較すると220,000千円の削減が見込まれるほか、維持管理費等も年間6,000千円の削減が見込まれる。</v>
          </cell>
        </row>
        <row r="232">
          <cell r="Y232" t="str">
            <v>○</v>
          </cell>
        </row>
        <row r="238">
          <cell r="B238" t="str">
            <v>令和</v>
          </cell>
          <cell r="E238">
            <v>2</v>
          </cell>
        </row>
        <row r="240">
          <cell r="E240" t="str">
            <v xml:space="preserve"> </v>
          </cell>
        </row>
        <row r="368">
          <cell r="B368" t="str">
            <v>　大館市川口・立花地区の公共下水道未普及解消事業（管渠整備）においてＰＰＰ手法を導入し早期の完成を目指す。
 総事業費で10％の縮減、工事は約１．３倍程度のスピードが可能となるため工期短縮効果がある。</v>
          </cell>
        </row>
        <row r="374">
          <cell r="S374" t="str">
            <v>令和</v>
          </cell>
          <cell r="V374">
            <v>1</v>
          </cell>
        </row>
        <row r="375">
          <cell r="V375">
            <v>5</v>
          </cell>
          <cell r="BC375" t="str">
            <v>　</v>
          </cell>
        </row>
        <row r="376">
          <cell r="V376">
            <v>28</v>
          </cell>
          <cell r="BC376" t="str">
            <v>　</v>
          </cell>
        </row>
        <row r="377">
          <cell r="BC377" t="str">
            <v>　</v>
          </cell>
        </row>
        <row r="378">
          <cell r="BC378" t="str">
            <v>○</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大館市</v>
          </cell>
        </row>
        <row r="17">
          <cell r="F17" t="str">
            <v>下水道事業</v>
          </cell>
          <cell r="W17" t="str">
            <v>特定地域排水処理施設</v>
          </cell>
          <cell r="BD17" t="str">
            <v>×</v>
          </cell>
        </row>
        <row r="19">
          <cell r="F19" t="str">
            <v>ー</v>
          </cell>
        </row>
        <row r="41">
          <cell r="R41" t="str">
            <v>○</v>
          </cell>
          <cell r="AD41" t="str">
            <v>○</v>
          </cell>
        </row>
        <row r="42">
          <cell r="R42" t="str">
            <v>○</v>
          </cell>
          <cell r="AD42" t="str">
            <v>○</v>
          </cell>
        </row>
        <row r="43">
          <cell r="R43" t="str">
            <v xml:space="preserve"> </v>
          </cell>
          <cell r="AA43" t="str">
            <v xml:space="preserve"> </v>
          </cell>
        </row>
        <row r="69">
          <cell r="AG69" t="str">
            <v xml:space="preserve"> </v>
          </cell>
        </row>
        <row r="96">
          <cell r="B96" t="str">
            <v>特定地域生活排水処理地域の市町村設置型浄化槽について、農業集落排水事業の廃止に合わせて、浄化槽を民間譲渡し、事業廃止することを検討している。</v>
          </cell>
        </row>
        <row r="101">
          <cell r="B101" t="str">
            <v>現在、法定検査実施率９割以上であるが、民間譲渡することにより実施率が低下することが懸念される。また、機器更新の際の残価設定・補助対応について検討が必要である。</v>
          </cell>
        </row>
        <row r="137">
          <cell r="B137" t="str">
            <v>特定地域生活排水処理地域の市町村設置型浄化槽について、農業集落排水事業の廃止に合わせて、浄化槽の民間譲渡を検討している。</v>
          </cell>
        </row>
        <row r="143">
          <cell r="B143" t="str">
            <v>現在、法定検査実施率９割以上であるが、民間譲渡することにより実施率が低下することが懸念される。また、機器更新の際の残価設定・補助対応について検討が必要である。</v>
          </cell>
        </row>
        <row r="184">
          <cell r="Y184" t="str">
            <v xml:space="preserve"> </v>
          </cell>
        </row>
        <row r="187">
          <cell r="Y187" t="str">
            <v xml:space="preserve"> </v>
          </cell>
        </row>
        <row r="238">
          <cell r="B238" t="str">
            <v>令和</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大館市</v>
          </cell>
        </row>
        <row r="17">
          <cell r="F17" t="str">
            <v>下水道事業</v>
          </cell>
          <cell r="W17" t="str">
            <v>農業集落排水施設</v>
          </cell>
          <cell r="BD17" t="str">
            <v>×</v>
          </cell>
        </row>
        <row r="19">
          <cell r="F19" t="str">
            <v>ー</v>
          </cell>
        </row>
        <row r="41">
          <cell r="R41" t="str">
            <v>○</v>
          </cell>
          <cell r="AD41" t="str">
            <v>○</v>
          </cell>
        </row>
        <row r="43">
          <cell r="R43" t="str">
            <v>○</v>
          </cell>
          <cell r="AA43" t="str">
            <v>○</v>
          </cell>
        </row>
        <row r="69">
          <cell r="AG69" t="str">
            <v xml:space="preserve"> </v>
          </cell>
        </row>
        <row r="96">
          <cell r="B96" t="str">
            <v>農業集落排水地域11箇所のうち、10地区について公共接続及び、処理場の廃止を検討している。残り1地区については、集合処理浄化槽への転換を検討している。</v>
          </cell>
        </row>
        <row r="101">
          <cell r="B101" t="str">
            <v>公共接続・処理場廃止は、秋田県生活排水処理整備構想において平面地図上だけで検討した結果のため、３次元的な接続予定箇所の検討が必要である。また、接続までの管に不明水があるため、区域内の不明水対策が課題となっている。</v>
          </cell>
        </row>
        <row r="187">
          <cell r="Y187" t="str">
            <v xml:space="preserve"> </v>
          </cell>
        </row>
        <row r="201">
          <cell r="B201" t="str">
            <v>10地区について公共接続・処理場廃止とし、流域処理場への流入処理を予定・検討している。うち真中地区の統合事業が実施予定で、公共接続により、農業集落排水事業で行う場合に比べて年間3,465千円の管理費減少が見込まれる。他９地区は計画段階。</v>
          </cell>
        </row>
        <row r="232">
          <cell r="Y232" t="str">
            <v>○</v>
          </cell>
        </row>
        <row r="235">
          <cell r="Y235" t="str">
            <v>○</v>
          </cell>
        </row>
        <row r="238">
          <cell r="B238" t="str">
            <v>令和</v>
          </cell>
          <cell r="E238">
            <v>5</v>
          </cell>
        </row>
        <row r="239">
          <cell r="E239">
            <v>4</v>
          </cell>
        </row>
        <row r="240">
          <cell r="E240">
            <v>1</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大館市</v>
          </cell>
        </row>
        <row r="17">
          <cell r="F17" t="str">
            <v>介護サービス事業</v>
          </cell>
          <cell r="W17" t="str">
            <v>老人デイサービスセンター</v>
          </cell>
          <cell r="BD17" t="str">
            <v>○</v>
          </cell>
        </row>
        <row r="19">
          <cell r="F19" t="str">
            <v>介護サービス事業特別会計</v>
          </cell>
        </row>
        <row r="42">
          <cell r="R42" t="str">
            <v>○</v>
          </cell>
          <cell r="AD42" t="str">
            <v>○</v>
          </cell>
        </row>
        <row r="44">
          <cell r="R44" t="str">
            <v>○</v>
          </cell>
          <cell r="X44" t="str">
            <v>○</v>
          </cell>
        </row>
        <row r="137">
          <cell r="B137" t="str">
            <v>大館市介護保険事業計画第９期中で民間への譲渡も検討している。
公共施設等総合管理計画を策定し、議会へも報告、ホームページで公開済み。</v>
          </cell>
        </row>
        <row r="143">
          <cell r="B143" t="str">
            <v xml:space="preserve">「大館市デイサービスセンター大滝」については令和６年４月を目途に譲渡することで検討。
施設の老朽化もあり、経費が増大しないよう譲渡方法を検討している。
「大館市デイサービスセンターかつら」については譲渡予定はなし。
</v>
          </cell>
        </row>
        <row r="266">
          <cell r="B266" t="str">
            <v>老人デイサービスセンター（デイサービスセンターかつら：定員２５人、デイサービスセンター大滝：定員３５人）の管理・運営
住民サービスの充実、介護サービスの質の向上が図られた。</v>
          </cell>
        </row>
        <row r="272">
          <cell r="U272" t="str">
            <v>平成</v>
          </cell>
          <cell r="X272">
            <v>18</v>
          </cell>
        </row>
        <row r="273">
          <cell r="G273" t="str">
            <v>○</v>
          </cell>
          <cell r="X273">
            <v>4</v>
          </cell>
        </row>
        <row r="274">
          <cell r="X274">
            <v>1</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大館市</v>
          </cell>
        </row>
        <row r="17">
          <cell r="F17" t="str">
            <v>介護サービス事業</v>
          </cell>
          <cell r="W17" t="str">
            <v>指定介護老人福祉施設</v>
          </cell>
          <cell r="BD17" t="str">
            <v>○</v>
          </cell>
        </row>
        <row r="19">
          <cell r="F19" t="str">
            <v>介護サービス事業特別会計</v>
          </cell>
        </row>
        <row r="42">
          <cell r="R42" t="str">
            <v>○</v>
          </cell>
          <cell r="AD42" t="str">
            <v>○</v>
          </cell>
        </row>
        <row r="44">
          <cell r="R44" t="str">
            <v>○</v>
          </cell>
          <cell r="X44" t="str">
            <v>○</v>
          </cell>
        </row>
        <row r="137">
          <cell r="B137" t="str">
            <v>大館市介護保険事業計画第９期中で民間への譲渡も検討している。
公共施設等総合管理計画を策定し、議会へも報告、ホームページで公開済み。</v>
          </cell>
        </row>
        <row r="143">
          <cell r="B143" t="str">
            <v>令和６年４月を目途に譲渡することで検討。
施設の老朽化もあり、経費が増大しないよう譲渡方法を検討している。</v>
          </cell>
        </row>
        <row r="266">
          <cell r="B266" t="str">
            <v>特別養護老人ホーム（定員１１０人）の管理・運営
住民サービスの充実、介護サービスの質の向上が図られた。</v>
          </cell>
        </row>
        <row r="272">
          <cell r="U272" t="str">
            <v>平成</v>
          </cell>
          <cell r="X272">
            <v>18</v>
          </cell>
        </row>
        <row r="273">
          <cell r="G273" t="str">
            <v>○</v>
          </cell>
          <cell r="X273">
            <v>4</v>
          </cell>
        </row>
        <row r="274">
          <cell r="X274">
            <v>1</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選択肢"/>
      <sheetName val="団体コード"/>
      <sheetName val="選択肢BK"/>
    </sheetNames>
    <sheetDataSet>
      <sheetData sheetId="0">
        <row r="15">
          <cell r="K15" t="str">
            <v>大館市</v>
          </cell>
        </row>
        <row r="17">
          <cell r="F17" t="str">
            <v>介護サービス事業</v>
          </cell>
          <cell r="W17" t="str">
            <v>老人短期入所施設</v>
          </cell>
          <cell r="BD17" t="str">
            <v>○</v>
          </cell>
        </row>
        <row r="19">
          <cell r="F19" t="str">
            <v>介護サービス事業特別会計</v>
          </cell>
        </row>
        <row r="42">
          <cell r="R42" t="str">
            <v>○</v>
          </cell>
          <cell r="AD42" t="str">
            <v>○</v>
          </cell>
        </row>
        <row r="44">
          <cell r="R44" t="str">
            <v>○</v>
          </cell>
          <cell r="X44" t="str">
            <v>○</v>
          </cell>
        </row>
        <row r="137">
          <cell r="B137" t="str">
            <v>大館市介護保険事業計画第９期中で民間への譲渡も検討している。
公共施設等総合管理計画を策定し、議会へも報告、ホームページで公開済み。</v>
          </cell>
        </row>
        <row r="143">
          <cell r="B143" t="str">
            <v>令和６年４月を目途に譲渡することで検討。
施設の老朽化もあり、経費が増大しないよう譲渡方法を検討している。</v>
          </cell>
        </row>
        <row r="266">
          <cell r="B266" t="str">
            <v>老人短期入所施設（定員１０人）の管理・運営
住民サービスの充実、介護サービスの質の向上が図られた。</v>
          </cell>
        </row>
        <row r="272">
          <cell r="U272" t="str">
            <v>平成</v>
          </cell>
          <cell r="X272">
            <v>18</v>
          </cell>
        </row>
        <row r="273">
          <cell r="G273" t="str">
            <v>○</v>
          </cell>
          <cell r="X273">
            <v>4</v>
          </cell>
        </row>
        <row r="274">
          <cell r="X274">
            <v>1</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sheetData>
      <sheetData sheetId="1" refreshError="1"/>
      <sheetData sheetId="2">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回答表"/>
      <sheetName val="集計用"/>
      <sheetName val="公開用"/>
      <sheetName val="選択肢"/>
      <sheetName val="団体コード"/>
      <sheetName val="選択肢BK"/>
    </sheetNames>
    <sheetDataSet>
      <sheetData sheetId="0" refreshError="1"/>
      <sheetData sheetId="1">
        <row r="15">
          <cell r="K15" t="str">
            <v>大館市</v>
          </cell>
        </row>
        <row r="17">
          <cell r="F17" t="str">
            <v>簡易水道事業</v>
          </cell>
          <cell r="W17" t="str">
            <v>―</v>
          </cell>
          <cell r="BD17" t="str">
            <v>×</v>
          </cell>
        </row>
        <row r="19">
          <cell r="F19" t="str">
            <v>ー</v>
          </cell>
        </row>
        <row r="41">
          <cell r="R41" t="str">
            <v>○</v>
          </cell>
          <cell r="X41" t="str">
            <v>○</v>
          </cell>
        </row>
        <row r="56">
          <cell r="B56" t="str">
            <v>上水道と簡易水道に分かれていたため契約や決算など事務処理が繁雑であったが、統合したことにより迅速に処理できるようになった。</v>
          </cell>
        </row>
        <row r="62">
          <cell r="S62" t="str">
            <v>平成</v>
          </cell>
          <cell r="V62">
            <v>29</v>
          </cell>
        </row>
        <row r="63">
          <cell r="V63">
            <v>3</v>
          </cell>
        </row>
        <row r="64">
          <cell r="V64">
            <v>31</v>
          </cell>
        </row>
        <row r="69">
          <cell r="AG69" t="str">
            <v>○</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sheetData>
      <sheetData sheetId="2"/>
      <sheetData sheetId="3"/>
      <sheetData sheetId="4">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大館市</v>
          </cell>
        </row>
        <row r="17">
          <cell r="F17" t="str">
            <v>工業用水道事業</v>
          </cell>
          <cell r="W17" t="str">
            <v>―</v>
          </cell>
          <cell r="BD17" t="str">
            <v>○</v>
          </cell>
        </row>
        <row r="19">
          <cell r="F19" t="str">
            <v>ー</v>
          </cell>
        </row>
        <row r="48">
          <cell r="R48" t="str">
            <v>○</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row r="467">
          <cell r="B467" t="str">
            <v>現行の経営体制・手法で健全な事業運営が実施できているため大きな改革の予定はなし。
今後の方向性
①専門的な知識や技術を持った人材の育成とその知識や技術を継承していくために研修等を実施し、安全性を強化する。
②逓減型従量制料金制度による安価な料金体制を継続することで企業誘致に貢献し、収益の増加を図る。</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473AE-35A2-4ACB-9809-C17C0C819D22}">
  <sheetPr>
    <pageSetUpPr fitToPage="1"/>
  </sheetPr>
  <dimension ref="A1:CE298"/>
  <sheetViews>
    <sheetView showZeros="0" tabSelected="1" zoomScale="55" zoomScaleNormal="55" workbookViewId="0">
      <selection activeCell="AM66" sqref="AM66:AT68"/>
    </sheetView>
  </sheetViews>
  <sheetFormatPr defaultColWidth="2.875" defaultRowHeight="12.6" customHeight="1" x14ac:dyDescent="0.4"/>
  <cols>
    <col min="1" max="70" width="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63" t="s">
        <v>0</v>
      </c>
      <c r="D8" s="264"/>
      <c r="E8" s="264"/>
      <c r="F8" s="264"/>
      <c r="G8" s="264"/>
      <c r="H8" s="264"/>
      <c r="I8" s="264"/>
      <c r="J8" s="264"/>
      <c r="K8" s="264"/>
      <c r="L8" s="264"/>
      <c r="M8" s="264"/>
      <c r="N8" s="264"/>
      <c r="O8" s="264"/>
      <c r="P8" s="264"/>
      <c r="Q8" s="264"/>
      <c r="R8" s="264"/>
      <c r="S8" s="264"/>
      <c r="T8" s="264"/>
      <c r="U8" s="265" t="s">
        <v>1</v>
      </c>
      <c r="V8" s="266"/>
      <c r="W8" s="266"/>
      <c r="X8" s="266"/>
      <c r="Y8" s="266"/>
      <c r="Z8" s="266"/>
      <c r="AA8" s="266"/>
      <c r="AB8" s="266"/>
      <c r="AC8" s="266"/>
      <c r="AD8" s="266"/>
      <c r="AE8" s="266"/>
      <c r="AF8" s="266"/>
      <c r="AG8" s="266"/>
      <c r="AH8" s="266"/>
      <c r="AI8" s="266"/>
      <c r="AJ8" s="266"/>
      <c r="AK8" s="266"/>
      <c r="AL8" s="266"/>
      <c r="AM8" s="266"/>
      <c r="AN8" s="267"/>
      <c r="AO8" s="268" t="s">
        <v>2</v>
      </c>
      <c r="AP8" s="266"/>
      <c r="AQ8" s="266"/>
      <c r="AR8" s="266"/>
      <c r="AS8" s="266"/>
      <c r="AT8" s="266"/>
      <c r="AU8" s="266"/>
      <c r="AV8" s="266"/>
      <c r="AW8" s="266"/>
      <c r="AX8" s="266"/>
      <c r="AY8" s="266"/>
      <c r="AZ8" s="266"/>
      <c r="BA8" s="266"/>
      <c r="BB8" s="266"/>
      <c r="BC8" s="266"/>
      <c r="BD8" s="266"/>
      <c r="BE8" s="267"/>
      <c r="BF8" s="263" t="s">
        <v>3</v>
      </c>
      <c r="BG8" s="269"/>
      <c r="BH8" s="269"/>
      <c r="BI8" s="269"/>
      <c r="BJ8" s="269"/>
      <c r="BK8" s="269"/>
      <c r="BL8" s="269"/>
      <c r="BM8" s="269"/>
      <c r="BN8" s="269"/>
      <c r="BO8" s="269"/>
      <c r="BP8" s="269"/>
      <c r="BQ8" s="8"/>
    </row>
    <row r="9" spans="3:70" ht="15.6" customHeight="1" x14ac:dyDescent="0.4">
      <c r="C9" s="264"/>
      <c r="D9" s="264"/>
      <c r="E9" s="264"/>
      <c r="F9" s="264"/>
      <c r="G9" s="264"/>
      <c r="H9" s="264"/>
      <c r="I9" s="264"/>
      <c r="J9" s="264"/>
      <c r="K9" s="264"/>
      <c r="L9" s="264"/>
      <c r="M9" s="264"/>
      <c r="N9" s="264"/>
      <c r="O9" s="264"/>
      <c r="P9" s="264"/>
      <c r="Q9" s="264"/>
      <c r="R9" s="264"/>
      <c r="S9" s="264"/>
      <c r="T9" s="264"/>
      <c r="U9" s="219"/>
      <c r="V9" s="217"/>
      <c r="W9" s="217"/>
      <c r="X9" s="217"/>
      <c r="Y9" s="217"/>
      <c r="Z9" s="217"/>
      <c r="AA9" s="217"/>
      <c r="AB9" s="217"/>
      <c r="AC9" s="217"/>
      <c r="AD9" s="217"/>
      <c r="AE9" s="217"/>
      <c r="AF9" s="217"/>
      <c r="AG9" s="217"/>
      <c r="AH9" s="217"/>
      <c r="AI9" s="217"/>
      <c r="AJ9" s="217"/>
      <c r="AK9" s="217"/>
      <c r="AL9" s="217"/>
      <c r="AM9" s="217"/>
      <c r="AN9" s="218"/>
      <c r="AO9" s="219"/>
      <c r="AP9" s="217"/>
      <c r="AQ9" s="217"/>
      <c r="AR9" s="217"/>
      <c r="AS9" s="217"/>
      <c r="AT9" s="217"/>
      <c r="AU9" s="217"/>
      <c r="AV9" s="217"/>
      <c r="AW9" s="217"/>
      <c r="AX9" s="217"/>
      <c r="AY9" s="217"/>
      <c r="AZ9" s="217"/>
      <c r="BA9" s="217"/>
      <c r="BB9" s="217"/>
      <c r="BC9" s="217"/>
      <c r="BD9" s="217"/>
      <c r="BE9" s="218"/>
      <c r="BF9" s="269"/>
      <c r="BG9" s="269"/>
      <c r="BH9" s="269"/>
      <c r="BI9" s="269"/>
      <c r="BJ9" s="269"/>
      <c r="BK9" s="269"/>
      <c r="BL9" s="269"/>
      <c r="BM9" s="269"/>
      <c r="BN9" s="269"/>
      <c r="BO9" s="269"/>
      <c r="BP9" s="269"/>
      <c r="BQ9" s="8"/>
    </row>
    <row r="10" spans="3:70" ht="15.6" customHeight="1" x14ac:dyDescent="0.4">
      <c r="C10" s="264"/>
      <c r="D10" s="264"/>
      <c r="E10" s="264"/>
      <c r="F10" s="264"/>
      <c r="G10" s="264"/>
      <c r="H10" s="264"/>
      <c r="I10" s="264"/>
      <c r="J10" s="264"/>
      <c r="K10" s="264"/>
      <c r="L10" s="264"/>
      <c r="M10" s="264"/>
      <c r="N10" s="264"/>
      <c r="O10" s="264"/>
      <c r="P10" s="264"/>
      <c r="Q10" s="264"/>
      <c r="R10" s="264"/>
      <c r="S10" s="264"/>
      <c r="T10" s="264"/>
      <c r="U10" s="220"/>
      <c r="V10" s="221"/>
      <c r="W10" s="221"/>
      <c r="X10" s="221"/>
      <c r="Y10" s="221"/>
      <c r="Z10" s="221"/>
      <c r="AA10" s="221"/>
      <c r="AB10" s="221"/>
      <c r="AC10" s="221"/>
      <c r="AD10" s="221"/>
      <c r="AE10" s="221"/>
      <c r="AF10" s="221"/>
      <c r="AG10" s="221"/>
      <c r="AH10" s="221"/>
      <c r="AI10" s="221"/>
      <c r="AJ10" s="221"/>
      <c r="AK10" s="221"/>
      <c r="AL10" s="221"/>
      <c r="AM10" s="221"/>
      <c r="AN10" s="222"/>
      <c r="AO10" s="220"/>
      <c r="AP10" s="221"/>
      <c r="AQ10" s="221"/>
      <c r="AR10" s="221"/>
      <c r="AS10" s="221"/>
      <c r="AT10" s="221"/>
      <c r="AU10" s="221"/>
      <c r="AV10" s="221"/>
      <c r="AW10" s="221"/>
      <c r="AX10" s="221"/>
      <c r="AY10" s="221"/>
      <c r="AZ10" s="221"/>
      <c r="BA10" s="221"/>
      <c r="BB10" s="221"/>
      <c r="BC10" s="221"/>
      <c r="BD10" s="221"/>
      <c r="BE10" s="222"/>
      <c r="BF10" s="269"/>
      <c r="BG10" s="269"/>
      <c r="BH10" s="269"/>
      <c r="BI10" s="269"/>
      <c r="BJ10" s="269"/>
      <c r="BK10" s="269"/>
      <c r="BL10" s="269"/>
      <c r="BM10" s="269"/>
      <c r="BN10" s="269"/>
      <c r="BO10" s="269"/>
      <c r="BP10" s="269"/>
      <c r="BQ10" s="8"/>
    </row>
    <row r="11" spans="3:70" ht="15.6" customHeight="1" x14ac:dyDescent="0.4">
      <c r="C11" s="270" t="str">
        <f>IF(COUNTIF([11]回答表!K15,"*")&gt;0,[11]回答表!K15,"")</f>
        <v>大館市</v>
      </c>
      <c r="D11" s="264"/>
      <c r="E11" s="264"/>
      <c r="F11" s="264"/>
      <c r="G11" s="264"/>
      <c r="H11" s="264"/>
      <c r="I11" s="264"/>
      <c r="J11" s="264"/>
      <c r="K11" s="264"/>
      <c r="L11" s="264"/>
      <c r="M11" s="264"/>
      <c r="N11" s="264"/>
      <c r="O11" s="264"/>
      <c r="P11" s="264"/>
      <c r="Q11" s="264"/>
      <c r="R11" s="264"/>
      <c r="S11" s="264"/>
      <c r="T11" s="264"/>
      <c r="U11" s="271" t="str">
        <f>IF(COUNTIF([11]回答表!F17,"*")&gt;0,[11]回答表!F17,"")</f>
        <v>水道事業</v>
      </c>
      <c r="V11" s="272"/>
      <c r="W11" s="272"/>
      <c r="X11" s="272"/>
      <c r="Y11" s="272"/>
      <c r="Z11" s="272"/>
      <c r="AA11" s="272"/>
      <c r="AB11" s="272"/>
      <c r="AC11" s="272"/>
      <c r="AD11" s="272"/>
      <c r="AE11" s="272"/>
      <c r="AF11" s="266"/>
      <c r="AG11" s="266"/>
      <c r="AH11" s="266"/>
      <c r="AI11" s="266"/>
      <c r="AJ11" s="266"/>
      <c r="AK11" s="266"/>
      <c r="AL11" s="266"/>
      <c r="AM11" s="266"/>
      <c r="AN11" s="267"/>
      <c r="AO11" s="277" t="str">
        <f>IF(COUNTIF([11]回答表!W17,"*")&gt;0,[11]回答表!W17,"")</f>
        <v>―</v>
      </c>
      <c r="AP11" s="266"/>
      <c r="AQ11" s="266"/>
      <c r="AR11" s="266"/>
      <c r="AS11" s="266"/>
      <c r="AT11" s="266"/>
      <c r="AU11" s="266"/>
      <c r="AV11" s="266"/>
      <c r="AW11" s="266"/>
      <c r="AX11" s="266"/>
      <c r="AY11" s="266"/>
      <c r="AZ11" s="266"/>
      <c r="BA11" s="266"/>
      <c r="BB11" s="266"/>
      <c r="BC11" s="266"/>
      <c r="BD11" s="266"/>
      <c r="BE11" s="267"/>
      <c r="BF11" s="270" t="str">
        <f>IF(COUNTIF([11]回答表!F19,"*")&gt;0,[11]回答表!F19,"")</f>
        <v>ー</v>
      </c>
      <c r="BG11" s="269"/>
      <c r="BH11" s="269"/>
      <c r="BI11" s="269"/>
      <c r="BJ11" s="269"/>
      <c r="BK11" s="269"/>
      <c r="BL11" s="269"/>
      <c r="BM11" s="269"/>
      <c r="BN11" s="269"/>
      <c r="BO11" s="269"/>
      <c r="BP11" s="269"/>
      <c r="BQ11" s="6"/>
    </row>
    <row r="12" spans="3:70" ht="15.6" customHeight="1" x14ac:dyDescent="0.4">
      <c r="C12" s="264"/>
      <c r="D12" s="264"/>
      <c r="E12" s="264"/>
      <c r="F12" s="264"/>
      <c r="G12" s="264"/>
      <c r="H12" s="264"/>
      <c r="I12" s="264"/>
      <c r="J12" s="264"/>
      <c r="K12" s="264"/>
      <c r="L12" s="264"/>
      <c r="M12" s="264"/>
      <c r="N12" s="264"/>
      <c r="O12" s="264"/>
      <c r="P12" s="264"/>
      <c r="Q12" s="264"/>
      <c r="R12" s="264"/>
      <c r="S12" s="264"/>
      <c r="T12" s="264"/>
      <c r="U12" s="273"/>
      <c r="V12" s="274"/>
      <c r="W12" s="274"/>
      <c r="X12" s="274"/>
      <c r="Y12" s="274"/>
      <c r="Z12" s="274"/>
      <c r="AA12" s="274"/>
      <c r="AB12" s="274"/>
      <c r="AC12" s="274"/>
      <c r="AD12" s="274"/>
      <c r="AE12" s="274"/>
      <c r="AF12" s="217"/>
      <c r="AG12" s="217"/>
      <c r="AH12" s="217"/>
      <c r="AI12" s="217"/>
      <c r="AJ12" s="217"/>
      <c r="AK12" s="217"/>
      <c r="AL12" s="217"/>
      <c r="AM12" s="217"/>
      <c r="AN12" s="218"/>
      <c r="AO12" s="219"/>
      <c r="AP12" s="217"/>
      <c r="AQ12" s="217"/>
      <c r="AR12" s="217"/>
      <c r="AS12" s="217"/>
      <c r="AT12" s="217"/>
      <c r="AU12" s="217"/>
      <c r="AV12" s="217"/>
      <c r="AW12" s="217"/>
      <c r="AX12" s="217"/>
      <c r="AY12" s="217"/>
      <c r="AZ12" s="217"/>
      <c r="BA12" s="217"/>
      <c r="BB12" s="217"/>
      <c r="BC12" s="217"/>
      <c r="BD12" s="217"/>
      <c r="BE12" s="218"/>
      <c r="BF12" s="269"/>
      <c r="BG12" s="269"/>
      <c r="BH12" s="269"/>
      <c r="BI12" s="269"/>
      <c r="BJ12" s="269"/>
      <c r="BK12" s="269"/>
      <c r="BL12" s="269"/>
      <c r="BM12" s="269"/>
      <c r="BN12" s="269"/>
      <c r="BO12" s="269"/>
      <c r="BP12" s="269"/>
      <c r="BQ12" s="6"/>
    </row>
    <row r="13" spans="3:70" ht="15.6" customHeight="1" x14ac:dyDescent="0.4">
      <c r="C13" s="264"/>
      <c r="D13" s="264"/>
      <c r="E13" s="264"/>
      <c r="F13" s="264"/>
      <c r="G13" s="264"/>
      <c r="H13" s="264"/>
      <c r="I13" s="264"/>
      <c r="J13" s="264"/>
      <c r="K13" s="264"/>
      <c r="L13" s="264"/>
      <c r="M13" s="264"/>
      <c r="N13" s="264"/>
      <c r="O13" s="264"/>
      <c r="P13" s="264"/>
      <c r="Q13" s="264"/>
      <c r="R13" s="264"/>
      <c r="S13" s="264"/>
      <c r="T13" s="264"/>
      <c r="U13" s="275"/>
      <c r="V13" s="276"/>
      <c r="W13" s="276"/>
      <c r="X13" s="276"/>
      <c r="Y13" s="276"/>
      <c r="Z13" s="276"/>
      <c r="AA13" s="276"/>
      <c r="AB13" s="276"/>
      <c r="AC13" s="276"/>
      <c r="AD13" s="276"/>
      <c r="AE13" s="276"/>
      <c r="AF13" s="221"/>
      <c r="AG13" s="221"/>
      <c r="AH13" s="221"/>
      <c r="AI13" s="221"/>
      <c r="AJ13" s="221"/>
      <c r="AK13" s="221"/>
      <c r="AL13" s="221"/>
      <c r="AM13" s="221"/>
      <c r="AN13" s="222"/>
      <c r="AO13" s="220"/>
      <c r="AP13" s="221"/>
      <c r="AQ13" s="221"/>
      <c r="AR13" s="221"/>
      <c r="AS13" s="221"/>
      <c r="AT13" s="221"/>
      <c r="AU13" s="221"/>
      <c r="AV13" s="221"/>
      <c r="AW13" s="221"/>
      <c r="AX13" s="221"/>
      <c r="AY13" s="221"/>
      <c r="AZ13" s="221"/>
      <c r="BA13" s="221"/>
      <c r="BB13" s="221"/>
      <c r="BC13" s="221"/>
      <c r="BD13" s="221"/>
      <c r="BE13" s="222"/>
      <c r="BF13" s="269"/>
      <c r="BG13" s="269"/>
      <c r="BH13" s="269"/>
      <c r="BI13" s="269"/>
      <c r="BJ13" s="269"/>
      <c r="BK13" s="269"/>
      <c r="BL13" s="269"/>
      <c r="BM13" s="269"/>
      <c r="BN13" s="269"/>
      <c r="BO13" s="269"/>
      <c r="BP13" s="269"/>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30" t="s">
        <v>4</v>
      </c>
      <c r="E18" s="231"/>
      <c r="F18" s="231"/>
      <c r="G18" s="231"/>
      <c r="H18" s="231"/>
      <c r="I18" s="231"/>
      <c r="J18" s="231"/>
      <c r="K18" s="231"/>
      <c r="L18" s="231"/>
      <c r="M18" s="231"/>
      <c r="N18" s="231"/>
      <c r="O18" s="231"/>
      <c r="P18" s="231"/>
      <c r="Q18" s="231"/>
      <c r="R18" s="231"/>
      <c r="S18" s="231"/>
      <c r="T18" s="231"/>
      <c r="U18" s="231"/>
      <c r="V18" s="231"/>
      <c r="W18" s="231"/>
      <c r="X18" s="231"/>
      <c r="Y18" s="231"/>
      <c r="Z18" s="231"/>
      <c r="AA18" s="231"/>
      <c r="AB18" s="231"/>
      <c r="AC18" s="231"/>
      <c r="AD18" s="231"/>
      <c r="AE18" s="231"/>
      <c r="AF18" s="231"/>
      <c r="AG18" s="231"/>
      <c r="AH18" s="231"/>
      <c r="AI18" s="231"/>
      <c r="AJ18" s="231"/>
      <c r="AK18" s="231"/>
      <c r="AL18" s="231"/>
      <c r="AM18" s="231"/>
      <c r="AN18" s="231"/>
      <c r="AO18" s="231"/>
      <c r="AP18" s="231"/>
      <c r="AQ18" s="231"/>
      <c r="AR18" s="231"/>
      <c r="AS18" s="231"/>
      <c r="AT18" s="231"/>
      <c r="AU18" s="231"/>
      <c r="AV18" s="231"/>
      <c r="AW18" s="231"/>
      <c r="AX18" s="231"/>
      <c r="AY18" s="231"/>
      <c r="AZ18" s="232"/>
      <c r="BA18" s="15"/>
      <c r="BB18" s="15"/>
      <c r="BC18" s="15"/>
      <c r="BD18" s="15"/>
      <c r="BE18" s="15"/>
      <c r="BF18" s="15"/>
      <c r="BG18" s="15"/>
      <c r="BH18" s="15"/>
      <c r="BI18" s="15"/>
      <c r="BJ18" s="15"/>
      <c r="BK18" s="16"/>
      <c r="BR18" s="13"/>
    </row>
    <row r="19" spans="3:83" ht="15.6" customHeight="1" x14ac:dyDescent="0.4">
      <c r="C19" s="14"/>
      <c r="D19" s="233"/>
      <c r="E19" s="234"/>
      <c r="F19" s="234"/>
      <c r="G19" s="234"/>
      <c r="H19" s="234"/>
      <c r="I19" s="234"/>
      <c r="J19" s="234"/>
      <c r="K19" s="234"/>
      <c r="L19" s="234"/>
      <c r="M19" s="234"/>
      <c r="N19" s="234"/>
      <c r="O19" s="234"/>
      <c r="P19" s="234"/>
      <c r="Q19" s="234"/>
      <c r="R19" s="234"/>
      <c r="S19" s="234"/>
      <c r="T19" s="234"/>
      <c r="U19" s="234"/>
      <c r="V19" s="234"/>
      <c r="W19" s="234"/>
      <c r="X19" s="234"/>
      <c r="Y19" s="234"/>
      <c r="Z19" s="234"/>
      <c r="AA19" s="234"/>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5"/>
      <c r="BA19" s="15"/>
      <c r="BB19" s="15"/>
      <c r="BC19" s="15"/>
      <c r="BD19" s="15"/>
      <c r="BE19" s="15"/>
      <c r="BF19" s="15"/>
      <c r="BG19" s="15"/>
      <c r="BH19" s="15"/>
      <c r="BI19" s="15"/>
      <c r="BJ19" s="15"/>
      <c r="BK19" s="16"/>
      <c r="BR19" s="13"/>
    </row>
    <row r="20" spans="3:83" ht="13.35" customHeight="1" x14ac:dyDescent="0.4">
      <c r="C20" s="14"/>
      <c r="D20" s="236" t="s">
        <v>5</v>
      </c>
      <c r="E20" s="237"/>
      <c r="F20" s="237"/>
      <c r="G20" s="237"/>
      <c r="H20" s="237"/>
      <c r="I20" s="237"/>
      <c r="J20" s="238"/>
      <c r="K20" s="236" t="s">
        <v>6</v>
      </c>
      <c r="L20" s="237"/>
      <c r="M20" s="237"/>
      <c r="N20" s="237"/>
      <c r="O20" s="237"/>
      <c r="P20" s="237"/>
      <c r="Q20" s="238"/>
      <c r="R20" s="236" t="s">
        <v>7</v>
      </c>
      <c r="S20" s="237"/>
      <c r="T20" s="237"/>
      <c r="U20" s="237"/>
      <c r="V20" s="237"/>
      <c r="W20" s="237"/>
      <c r="X20" s="238"/>
      <c r="Y20" s="245" t="s">
        <v>8</v>
      </c>
      <c r="Z20" s="246"/>
      <c r="AA20" s="246"/>
      <c r="AB20" s="246"/>
      <c r="AC20" s="246"/>
      <c r="AD20" s="246"/>
      <c r="AE20" s="246"/>
      <c r="AF20" s="246"/>
      <c r="AG20" s="246"/>
      <c r="AH20" s="246"/>
      <c r="AI20" s="246"/>
      <c r="AJ20" s="246"/>
      <c r="AK20" s="246"/>
      <c r="AL20" s="246"/>
      <c r="AM20" s="246"/>
      <c r="AN20" s="246"/>
      <c r="AO20" s="246"/>
      <c r="AP20" s="246"/>
      <c r="AQ20" s="246"/>
      <c r="AR20" s="246"/>
      <c r="AS20" s="246"/>
      <c r="AT20" s="246"/>
      <c r="AU20" s="246"/>
      <c r="AV20" s="246"/>
      <c r="AW20" s="246"/>
      <c r="AX20" s="246"/>
      <c r="AY20" s="246"/>
      <c r="AZ20" s="247"/>
      <c r="BA20" s="17"/>
      <c r="BB20" s="254" t="s">
        <v>9</v>
      </c>
      <c r="BC20" s="255"/>
      <c r="BD20" s="255"/>
      <c r="BE20" s="255"/>
      <c r="BF20" s="255"/>
      <c r="BG20" s="255"/>
      <c r="BH20" s="255"/>
      <c r="BI20" s="223"/>
      <c r="BJ20" s="224"/>
      <c r="BK20" s="16"/>
      <c r="BR20" s="18"/>
    </row>
    <row r="21" spans="3:83" ht="13.35" customHeight="1" x14ac:dyDescent="0.4">
      <c r="C21" s="14"/>
      <c r="D21" s="239"/>
      <c r="E21" s="240"/>
      <c r="F21" s="240"/>
      <c r="G21" s="240"/>
      <c r="H21" s="240"/>
      <c r="I21" s="240"/>
      <c r="J21" s="241"/>
      <c r="K21" s="239"/>
      <c r="L21" s="240"/>
      <c r="M21" s="240"/>
      <c r="N21" s="240"/>
      <c r="O21" s="240"/>
      <c r="P21" s="240"/>
      <c r="Q21" s="241"/>
      <c r="R21" s="239"/>
      <c r="S21" s="240"/>
      <c r="T21" s="240"/>
      <c r="U21" s="240"/>
      <c r="V21" s="240"/>
      <c r="W21" s="240"/>
      <c r="X21" s="241"/>
      <c r="Y21" s="248"/>
      <c r="Z21" s="249"/>
      <c r="AA21" s="249"/>
      <c r="AB21" s="249"/>
      <c r="AC21" s="249"/>
      <c r="AD21" s="249"/>
      <c r="AE21" s="249"/>
      <c r="AF21" s="249"/>
      <c r="AG21" s="249"/>
      <c r="AH21" s="249"/>
      <c r="AI21" s="249"/>
      <c r="AJ21" s="249"/>
      <c r="AK21" s="249"/>
      <c r="AL21" s="249"/>
      <c r="AM21" s="249"/>
      <c r="AN21" s="249"/>
      <c r="AO21" s="249"/>
      <c r="AP21" s="249"/>
      <c r="AQ21" s="249"/>
      <c r="AR21" s="249"/>
      <c r="AS21" s="249"/>
      <c r="AT21" s="249"/>
      <c r="AU21" s="249"/>
      <c r="AV21" s="249"/>
      <c r="AW21" s="249"/>
      <c r="AX21" s="249"/>
      <c r="AY21" s="249"/>
      <c r="AZ21" s="250"/>
      <c r="BA21" s="17"/>
      <c r="BB21" s="256"/>
      <c r="BC21" s="257"/>
      <c r="BD21" s="257"/>
      <c r="BE21" s="257"/>
      <c r="BF21" s="257"/>
      <c r="BG21" s="257"/>
      <c r="BH21" s="257"/>
      <c r="BI21" s="225"/>
      <c r="BJ21" s="226"/>
      <c r="BK21" s="16"/>
      <c r="BR21" s="18"/>
    </row>
    <row r="22" spans="3:83" ht="13.35" customHeight="1" x14ac:dyDescent="0.4">
      <c r="C22" s="14"/>
      <c r="D22" s="239"/>
      <c r="E22" s="240"/>
      <c r="F22" s="240"/>
      <c r="G22" s="240"/>
      <c r="H22" s="240"/>
      <c r="I22" s="240"/>
      <c r="J22" s="241"/>
      <c r="K22" s="239"/>
      <c r="L22" s="240"/>
      <c r="M22" s="240"/>
      <c r="N22" s="240"/>
      <c r="O22" s="240"/>
      <c r="P22" s="240"/>
      <c r="Q22" s="241"/>
      <c r="R22" s="239"/>
      <c r="S22" s="240"/>
      <c r="T22" s="240"/>
      <c r="U22" s="240"/>
      <c r="V22" s="240"/>
      <c r="W22" s="240"/>
      <c r="X22" s="241"/>
      <c r="Y22" s="251"/>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3"/>
      <c r="BA22" s="19"/>
      <c r="BB22" s="256"/>
      <c r="BC22" s="257"/>
      <c r="BD22" s="257"/>
      <c r="BE22" s="257"/>
      <c r="BF22" s="257"/>
      <c r="BG22" s="257"/>
      <c r="BH22" s="257"/>
      <c r="BI22" s="225"/>
      <c r="BJ22" s="226"/>
      <c r="BK22" s="16"/>
      <c r="BR22" s="18"/>
    </row>
    <row r="23" spans="3:83" ht="31.35" customHeight="1" x14ac:dyDescent="0.4">
      <c r="C23" s="14"/>
      <c r="D23" s="242"/>
      <c r="E23" s="243"/>
      <c r="F23" s="243"/>
      <c r="G23" s="243"/>
      <c r="H23" s="243"/>
      <c r="I23" s="243"/>
      <c r="J23" s="244"/>
      <c r="K23" s="242"/>
      <c r="L23" s="243"/>
      <c r="M23" s="243"/>
      <c r="N23" s="243"/>
      <c r="O23" s="243"/>
      <c r="P23" s="243"/>
      <c r="Q23" s="244"/>
      <c r="R23" s="242"/>
      <c r="S23" s="243"/>
      <c r="T23" s="243"/>
      <c r="U23" s="243"/>
      <c r="V23" s="243"/>
      <c r="W23" s="243"/>
      <c r="X23" s="244"/>
      <c r="Y23" s="260" t="s">
        <v>10</v>
      </c>
      <c r="Z23" s="261"/>
      <c r="AA23" s="261"/>
      <c r="AB23" s="261"/>
      <c r="AC23" s="261"/>
      <c r="AD23" s="261"/>
      <c r="AE23" s="262"/>
      <c r="AF23" s="260" t="s">
        <v>11</v>
      </c>
      <c r="AG23" s="261"/>
      <c r="AH23" s="261"/>
      <c r="AI23" s="261"/>
      <c r="AJ23" s="261"/>
      <c r="AK23" s="261"/>
      <c r="AL23" s="262"/>
      <c r="AM23" s="260" t="s">
        <v>12</v>
      </c>
      <c r="AN23" s="261"/>
      <c r="AO23" s="261"/>
      <c r="AP23" s="261"/>
      <c r="AQ23" s="261"/>
      <c r="AR23" s="261"/>
      <c r="AS23" s="262"/>
      <c r="AT23" s="260" t="s">
        <v>13</v>
      </c>
      <c r="AU23" s="261"/>
      <c r="AV23" s="261"/>
      <c r="AW23" s="261"/>
      <c r="AX23" s="261"/>
      <c r="AY23" s="261"/>
      <c r="AZ23" s="262"/>
      <c r="BA23" s="19"/>
      <c r="BB23" s="258"/>
      <c r="BC23" s="259"/>
      <c r="BD23" s="259"/>
      <c r="BE23" s="259"/>
      <c r="BF23" s="259"/>
      <c r="BG23" s="259"/>
      <c r="BH23" s="259"/>
      <c r="BI23" s="227"/>
      <c r="BJ23" s="228"/>
      <c r="BK23" s="16"/>
      <c r="BR23" s="18"/>
    </row>
    <row r="24" spans="3:83" ht="15.6" customHeight="1" x14ac:dyDescent="0.4">
      <c r="C24" s="14"/>
      <c r="D24" s="121" t="str">
        <f>IF([11]回答表!R41="○","○","")</f>
        <v/>
      </c>
      <c r="E24" s="122"/>
      <c r="F24" s="122"/>
      <c r="G24" s="122"/>
      <c r="H24" s="122"/>
      <c r="I24" s="122"/>
      <c r="J24" s="123"/>
      <c r="K24" s="121" t="str">
        <f>IF([11]回答表!R42="○","○","")</f>
        <v/>
      </c>
      <c r="L24" s="122"/>
      <c r="M24" s="122"/>
      <c r="N24" s="122"/>
      <c r="O24" s="122"/>
      <c r="P24" s="122"/>
      <c r="Q24" s="123"/>
      <c r="R24" s="121" t="str">
        <f>IF([11]回答表!R43="○","○","")</f>
        <v>○</v>
      </c>
      <c r="S24" s="122"/>
      <c r="T24" s="122"/>
      <c r="U24" s="122"/>
      <c r="V24" s="122"/>
      <c r="W24" s="122"/>
      <c r="X24" s="123"/>
      <c r="Y24" s="121" t="str">
        <f>IF([11]回答表!R44="○","○","")</f>
        <v/>
      </c>
      <c r="Z24" s="122"/>
      <c r="AA24" s="122"/>
      <c r="AB24" s="122"/>
      <c r="AC24" s="122"/>
      <c r="AD24" s="122"/>
      <c r="AE24" s="123"/>
      <c r="AF24" s="121" t="str">
        <f>IF([11]回答表!R45="○","○","")</f>
        <v>○</v>
      </c>
      <c r="AG24" s="122"/>
      <c r="AH24" s="122"/>
      <c r="AI24" s="122"/>
      <c r="AJ24" s="122"/>
      <c r="AK24" s="122"/>
      <c r="AL24" s="123"/>
      <c r="AM24" s="121" t="str">
        <f>IF([11]回答表!R46="○","○","")</f>
        <v>○</v>
      </c>
      <c r="AN24" s="122"/>
      <c r="AO24" s="122"/>
      <c r="AP24" s="122"/>
      <c r="AQ24" s="122"/>
      <c r="AR24" s="122"/>
      <c r="AS24" s="123"/>
      <c r="AT24" s="121" t="str">
        <f>IF([11]回答表!R47="○","○","")</f>
        <v/>
      </c>
      <c r="AU24" s="122"/>
      <c r="AV24" s="122"/>
      <c r="AW24" s="122"/>
      <c r="AX24" s="122"/>
      <c r="AY24" s="122"/>
      <c r="AZ24" s="123"/>
      <c r="BA24" s="19"/>
      <c r="BB24" s="118" t="str">
        <f>IF([11]回答表!R48="○","○","")</f>
        <v/>
      </c>
      <c r="BC24" s="119"/>
      <c r="BD24" s="119"/>
      <c r="BE24" s="119"/>
      <c r="BF24" s="119"/>
      <c r="BG24" s="119"/>
      <c r="BH24" s="119"/>
      <c r="BI24" s="223"/>
      <c r="BJ24" s="224"/>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25"/>
      <c r="BJ25" s="226"/>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27"/>
      <c r="BJ26" s="228"/>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IF([11]回答表!X41="○","○","")</f>
        <v/>
      </c>
      <c r="O36" s="98"/>
      <c r="P36" s="98"/>
      <c r="Q36" s="99"/>
      <c r="R36" s="39"/>
      <c r="S36" s="39"/>
      <c r="T36" s="39"/>
      <c r="U36" s="106" t="str">
        <f>IF([11]回答表!X41="○",[11]回答表!B56,IF([11]回答表!AA41="○",[11]回答表!B76,""))</f>
        <v/>
      </c>
      <c r="V36" s="107"/>
      <c r="W36" s="107"/>
      <c r="X36" s="107"/>
      <c r="Y36" s="107"/>
      <c r="Z36" s="107"/>
      <c r="AA36" s="107"/>
      <c r="AB36" s="107"/>
      <c r="AC36" s="107"/>
      <c r="AD36" s="107"/>
      <c r="AE36" s="107"/>
      <c r="AF36" s="107"/>
      <c r="AG36" s="107"/>
      <c r="AH36" s="107"/>
      <c r="AI36" s="107"/>
      <c r="AJ36" s="108"/>
      <c r="AK36" s="50"/>
      <c r="AL36" s="50"/>
      <c r="AM36" s="229" t="s">
        <v>19</v>
      </c>
      <c r="AN36" s="229"/>
      <c r="AO36" s="229"/>
      <c r="AP36" s="229"/>
      <c r="AQ36" s="229"/>
      <c r="AR36" s="229"/>
      <c r="AS36" s="229"/>
      <c r="AT36" s="229"/>
      <c r="AU36" s="229" t="s">
        <v>20</v>
      </c>
      <c r="AV36" s="229"/>
      <c r="AW36" s="229"/>
      <c r="AX36" s="229"/>
      <c r="AY36" s="229"/>
      <c r="AZ36" s="229"/>
      <c r="BA36" s="229"/>
      <c r="BB36" s="229"/>
      <c r="BC36" s="40"/>
      <c r="BD36" s="35"/>
      <c r="BE36" s="115" t="str">
        <f>IF([11]回答表!X41="○",[11]回答表!S62,IF([11]回答表!AA41="○",[11]回答表!S82,""))</f>
        <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29"/>
      <c r="AN37" s="229"/>
      <c r="AO37" s="229"/>
      <c r="AP37" s="229"/>
      <c r="AQ37" s="229"/>
      <c r="AR37" s="229"/>
      <c r="AS37" s="229"/>
      <c r="AT37" s="229"/>
      <c r="AU37" s="229"/>
      <c r="AV37" s="229"/>
      <c r="AW37" s="229"/>
      <c r="AX37" s="229"/>
      <c r="AY37" s="229"/>
      <c r="AZ37" s="229"/>
      <c r="BA37" s="229"/>
      <c r="BB37" s="229"/>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IF([11]回答表!X41="○",[11]回答表!G62,IF([11]回答表!AA41="○",[11]回答表!G82,""))</f>
        <v/>
      </c>
      <c r="AN38" s="119"/>
      <c r="AO38" s="119"/>
      <c r="AP38" s="119"/>
      <c r="AQ38" s="119"/>
      <c r="AR38" s="119"/>
      <c r="AS38" s="119"/>
      <c r="AT38" s="120"/>
      <c r="AU38" s="118" t="str">
        <f>IF([11]回答表!X41="○",[11]回答表!G63,IF([11]回答表!AA41="○",[11]回答表!G83,""))</f>
        <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t="str">
        <f>IF([11]回答表!X41="○",[11]回答表!V62,IF([11]回答表!AA41="○",[11]回答表!V82,""))</f>
        <v/>
      </c>
      <c r="BF39" s="217"/>
      <c r="BG39" s="217"/>
      <c r="BH39" s="218"/>
      <c r="BI39" s="82" t="str">
        <f>IF([11]回答表!X41="○",[11]回答表!V63,IF([11]回答表!AA41="○",[11]回答表!V83,""))</f>
        <v/>
      </c>
      <c r="BJ39" s="217"/>
      <c r="BK39" s="217"/>
      <c r="BL39" s="218"/>
      <c r="BM39" s="82" t="str">
        <f>IF([11]回答表!X41="○",[11]回答表!V64,IF([11]回答表!AA41="○",[11]回答表!V84,""))</f>
        <v/>
      </c>
      <c r="BN39" s="217"/>
      <c r="BO39" s="217"/>
      <c r="BP39" s="218"/>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19"/>
      <c r="BF40" s="217"/>
      <c r="BG40" s="217"/>
      <c r="BH40" s="218"/>
      <c r="BI40" s="219"/>
      <c r="BJ40" s="217"/>
      <c r="BK40" s="217"/>
      <c r="BL40" s="218"/>
      <c r="BM40" s="219"/>
      <c r="BN40" s="217"/>
      <c r="BO40" s="217"/>
      <c r="BP40" s="218"/>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19"/>
      <c r="BF41" s="217"/>
      <c r="BG41" s="217"/>
      <c r="BH41" s="218"/>
      <c r="BI41" s="219"/>
      <c r="BJ41" s="217"/>
      <c r="BK41" s="217"/>
      <c r="BL41" s="218"/>
      <c r="BM41" s="219"/>
      <c r="BN41" s="217"/>
      <c r="BO41" s="217"/>
      <c r="BP41" s="218"/>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215" t="str">
        <f>IF([11]回答表!X41="○",[11]回答表!O68,IF([11]回答表!AA41="○",[11]回答表!O88,""))</f>
        <v/>
      </c>
      <c r="AN42" s="216"/>
      <c r="AO42" s="213" t="s">
        <v>21</v>
      </c>
      <c r="AP42" s="213"/>
      <c r="AQ42" s="213"/>
      <c r="AR42" s="213"/>
      <c r="AS42" s="213"/>
      <c r="AT42" s="213"/>
      <c r="AU42" s="213"/>
      <c r="AV42" s="213"/>
      <c r="AW42" s="213"/>
      <c r="AX42" s="213"/>
      <c r="AY42" s="213"/>
      <c r="AZ42" s="213"/>
      <c r="BA42" s="213"/>
      <c r="BB42" s="214"/>
      <c r="BC42" s="40"/>
      <c r="BD42" s="40"/>
      <c r="BE42" s="219"/>
      <c r="BF42" s="217"/>
      <c r="BG42" s="217"/>
      <c r="BH42" s="218"/>
      <c r="BI42" s="219"/>
      <c r="BJ42" s="217"/>
      <c r="BK42" s="217"/>
      <c r="BL42" s="218"/>
      <c r="BM42" s="219"/>
      <c r="BN42" s="217"/>
      <c r="BO42" s="217"/>
      <c r="BP42" s="218"/>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215" t="str">
        <f>IF([11]回答表!X41="○",[11]回答表!O69,IF([11]回答表!AA41="○",[11]回答表!O89,""))</f>
        <v/>
      </c>
      <c r="AN43" s="216"/>
      <c r="AO43" s="213" t="s">
        <v>22</v>
      </c>
      <c r="AP43" s="213"/>
      <c r="AQ43" s="213"/>
      <c r="AR43" s="213"/>
      <c r="AS43" s="213"/>
      <c r="AT43" s="213"/>
      <c r="AU43" s="213"/>
      <c r="AV43" s="213"/>
      <c r="AW43" s="213"/>
      <c r="AX43" s="213"/>
      <c r="AY43" s="213"/>
      <c r="AZ43" s="213"/>
      <c r="BA43" s="213"/>
      <c r="BB43" s="214"/>
      <c r="BC43" s="40"/>
      <c r="BD43" s="35"/>
      <c r="BE43" s="82" t="s">
        <v>23</v>
      </c>
      <c r="BF43" s="217"/>
      <c r="BG43" s="217"/>
      <c r="BH43" s="218"/>
      <c r="BI43" s="82" t="s">
        <v>24</v>
      </c>
      <c r="BJ43" s="217"/>
      <c r="BK43" s="217"/>
      <c r="BL43" s="218"/>
      <c r="BM43" s="82" t="s">
        <v>25</v>
      </c>
      <c r="BN43" s="217"/>
      <c r="BO43" s="217"/>
      <c r="BP43" s="218"/>
      <c r="BQ43" s="38"/>
      <c r="BR43" s="25"/>
    </row>
    <row r="44" spans="1:70" ht="15.6" customHeight="1" x14ac:dyDescent="0.4">
      <c r="A44" s="25"/>
      <c r="B44" s="25"/>
      <c r="C44" s="33"/>
      <c r="D44" s="140" t="s">
        <v>26</v>
      </c>
      <c r="E44" s="141"/>
      <c r="F44" s="141"/>
      <c r="G44" s="141"/>
      <c r="H44" s="141"/>
      <c r="I44" s="141"/>
      <c r="J44" s="141"/>
      <c r="K44" s="141"/>
      <c r="L44" s="141"/>
      <c r="M44" s="142"/>
      <c r="N44" s="97" t="str">
        <f>IF([11]回答表!AA41="○","○","")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215" t="str">
        <f>IF([11]回答表!X41="○",[11]回答表!O70,IF([11]回答表!AA41="○",[11]回答表!O90,""))</f>
        <v/>
      </c>
      <c r="AN44" s="216"/>
      <c r="AO44" s="213" t="s">
        <v>27</v>
      </c>
      <c r="AP44" s="213"/>
      <c r="AQ44" s="213"/>
      <c r="AR44" s="213"/>
      <c r="AS44" s="213"/>
      <c r="AT44" s="213"/>
      <c r="AU44" s="213"/>
      <c r="AV44" s="213"/>
      <c r="AW44" s="213"/>
      <c r="AX44" s="213"/>
      <c r="AY44" s="213"/>
      <c r="AZ44" s="213"/>
      <c r="BA44" s="213"/>
      <c r="BB44" s="214"/>
      <c r="BC44" s="40"/>
      <c r="BD44" s="54"/>
      <c r="BE44" s="219"/>
      <c r="BF44" s="217"/>
      <c r="BG44" s="217"/>
      <c r="BH44" s="218"/>
      <c r="BI44" s="219"/>
      <c r="BJ44" s="217"/>
      <c r="BK44" s="217"/>
      <c r="BL44" s="218"/>
      <c r="BM44" s="219"/>
      <c r="BN44" s="217"/>
      <c r="BO44" s="217"/>
      <c r="BP44" s="218"/>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215" t="str">
        <f>IF([11]回答表!X41="○",[11]回答表!O71,IF([11]回答表!AA41="○",[11]回答表!O91,""))</f>
        <v/>
      </c>
      <c r="AN45" s="216"/>
      <c r="AO45" s="213" t="s">
        <v>28</v>
      </c>
      <c r="AP45" s="213"/>
      <c r="AQ45" s="213"/>
      <c r="AR45" s="213"/>
      <c r="AS45" s="213"/>
      <c r="AT45" s="213"/>
      <c r="AU45" s="213"/>
      <c r="AV45" s="213"/>
      <c r="AW45" s="213"/>
      <c r="AX45" s="213"/>
      <c r="AY45" s="213"/>
      <c r="AZ45" s="213"/>
      <c r="BA45" s="213"/>
      <c r="BB45" s="214"/>
      <c r="BC45" s="40"/>
      <c r="BD45" s="54"/>
      <c r="BE45" s="220"/>
      <c r="BF45" s="221"/>
      <c r="BG45" s="221"/>
      <c r="BH45" s="222"/>
      <c r="BI45" s="220"/>
      <c r="BJ45" s="221"/>
      <c r="BK45" s="221"/>
      <c r="BL45" s="222"/>
      <c r="BM45" s="220"/>
      <c r="BN45" s="221"/>
      <c r="BO45" s="221"/>
      <c r="BP45" s="222"/>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215" t="str">
        <f>IF([11]回答表!X41="○",[11]回答表!AG68,IF([11]回答表!AA41="○",[11]回答表!AG88,""))</f>
        <v/>
      </c>
      <c r="AN46" s="216"/>
      <c r="AO46" s="213" t="s">
        <v>29</v>
      </c>
      <c r="AP46" s="213"/>
      <c r="AQ46" s="213"/>
      <c r="AR46" s="213"/>
      <c r="AS46" s="213"/>
      <c r="AT46" s="213"/>
      <c r="AU46" s="213"/>
      <c r="AV46" s="213"/>
      <c r="AW46" s="213"/>
      <c r="AX46" s="213"/>
      <c r="AY46" s="213"/>
      <c r="AZ46" s="213"/>
      <c r="BA46" s="213"/>
      <c r="BB46" s="214"/>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215" t="str">
        <f>IF([11]回答表!X41="○",[11]回答表!AG69,IF([11]回答表!AA41="○",[11]回答表!AG89,""))</f>
        <v/>
      </c>
      <c r="AN47" s="216"/>
      <c r="AO47" s="213" t="s">
        <v>30</v>
      </c>
      <c r="AP47" s="213"/>
      <c r="AQ47" s="213"/>
      <c r="AR47" s="213"/>
      <c r="AS47" s="213"/>
      <c r="AT47" s="213"/>
      <c r="AU47" s="213"/>
      <c r="AV47" s="213"/>
      <c r="AW47" s="213"/>
      <c r="AX47" s="213"/>
      <c r="AY47" s="213"/>
      <c r="AZ47" s="213"/>
      <c r="BA47" s="213"/>
      <c r="BB47" s="214"/>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215" t="str">
        <f>IF([11]回答表!X41="○",[11]回答表!AG70,IF([11]回答表!AA41="○",[11]回答表!AG90,""))</f>
        <v/>
      </c>
      <c r="AN48" s="216"/>
      <c r="AO48" s="213" t="s">
        <v>31</v>
      </c>
      <c r="AP48" s="213"/>
      <c r="AQ48" s="213"/>
      <c r="AR48" s="213"/>
      <c r="AS48" s="213"/>
      <c r="AT48" s="213"/>
      <c r="AU48" s="213"/>
      <c r="AV48" s="213"/>
      <c r="AW48" s="213"/>
      <c r="AX48" s="213"/>
      <c r="AY48" s="213"/>
      <c r="AZ48" s="213"/>
      <c r="BA48" s="213"/>
      <c r="BB48" s="214"/>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IF([11]回答表!AD41="○","○","")</f>
        <v/>
      </c>
      <c r="O52" s="98"/>
      <c r="P52" s="98"/>
      <c r="Q52" s="99"/>
      <c r="R52" s="39"/>
      <c r="S52" s="39"/>
      <c r="T52" s="39"/>
      <c r="U52" s="106" t="str">
        <f>IF([11]回答表!AD41="○",[11]回答表!B96,"")</f>
        <v/>
      </c>
      <c r="V52" s="107"/>
      <c r="W52" s="107"/>
      <c r="X52" s="107"/>
      <c r="Y52" s="107"/>
      <c r="Z52" s="107"/>
      <c r="AA52" s="107"/>
      <c r="AB52" s="107"/>
      <c r="AC52" s="107"/>
      <c r="AD52" s="107"/>
      <c r="AE52" s="107"/>
      <c r="AF52" s="107"/>
      <c r="AG52" s="107"/>
      <c r="AH52" s="107"/>
      <c r="AI52" s="107"/>
      <c r="AJ52" s="108"/>
      <c r="AK52" s="56"/>
      <c r="AL52" s="56"/>
      <c r="AM52" s="106" t="str">
        <f>IF([11]回答表!AD41="○",[11]回答表!B101,"")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IF([11]回答表!X42="○","○","")</f>
        <v/>
      </c>
      <c r="O63" s="98"/>
      <c r="P63" s="98"/>
      <c r="Q63" s="99"/>
      <c r="R63" s="39"/>
      <c r="S63" s="39"/>
      <c r="T63" s="39"/>
      <c r="U63" s="106" t="str">
        <f>IF([11]回答表!X42="○",[11]回答表!B111,IF([11]回答表!AA42="○",[11]回答表!B124,""))</f>
        <v/>
      </c>
      <c r="V63" s="107"/>
      <c r="W63" s="107"/>
      <c r="X63" s="107"/>
      <c r="Y63" s="107"/>
      <c r="Z63" s="107"/>
      <c r="AA63" s="107"/>
      <c r="AB63" s="107"/>
      <c r="AC63" s="107"/>
      <c r="AD63" s="107"/>
      <c r="AE63" s="107"/>
      <c r="AF63" s="107"/>
      <c r="AG63" s="107"/>
      <c r="AH63" s="107"/>
      <c r="AI63" s="107"/>
      <c r="AJ63" s="108"/>
      <c r="AK63" s="50"/>
      <c r="AL63" s="50"/>
      <c r="AM63" s="212" t="s">
        <v>37</v>
      </c>
      <c r="AN63" s="212"/>
      <c r="AO63" s="212"/>
      <c r="AP63" s="212"/>
      <c r="AQ63" s="212"/>
      <c r="AR63" s="212"/>
      <c r="AS63" s="212"/>
      <c r="AT63" s="212"/>
      <c r="AU63" s="212" t="s">
        <v>38</v>
      </c>
      <c r="AV63" s="212"/>
      <c r="AW63" s="212"/>
      <c r="AX63" s="212"/>
      <c r="AY63" s="212"/>
      <c r="AZ63" s="212"/>
      <c r="BA63" s="212"/>
      <c r="BB63" s="212"/>
      <c r="BC63" s="40"/>
      <c r="BD63" s="35"/>
      <c r="BE63" s="115" t="str">
        <f>IF([11]回答表!X42="○",[11]回答表!S117,IF([11]回答表!AA42="○",[11]回答表!S130,""))</f>
        <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212"/>
      <c r="AN64" s="212"/>
      <c r="AO64" s="212"/>
      <c r="AP64" s="212"/>
      <c r="AQ64" s="212"/>
      <c r="AR64" s="212"/>
      <c r="AS64" s="212"/>
      <c r="AT64" s="212"/>
      <c r="AU64" s="212"/>
      <c r="AV64" s="212"/>
      <c r="AW64" s="212"/>
      <c r="AX64" s="212"/>
      <c r="AY64" s="212"/>
      <c r="AZ64" s="212"/>
      <c r="BA64" s="212"/>
      <c r="BB64" s="212"/>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212"/>
      <c r="AN65" s="212"/>
      <c r="AO65" s="212"/>
      <c r="AP65" s="212"/>
      <c r="AQ65" s="212"/>
      <c r="AR65" s="212"/>
      <c r="AS65" s="212"/>
      <c r="AT65" s="212"/>
      <c r="AU65" s="212"/>
      <c r="AV65" s="212"/>
      <c r="AW65" s="212"/>
      <c r="AX65" s="212"/>
      <c r="AY65" s="212"/>
      <c r="AZ65" s="212"/>
      <c r="BA65" s="212"/>
      <c r="BB65" s="212"/>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IF([11]回答表!X42="○",[11]回答表!J117,IF([11]回答表!AA42="○",[11]回答表!J130,""))</f>
        <v/>
      </c>
      <c r="AN66" s="119"/>
      <c r="AO66" s="119"/>
      <c r="AP66" s="119"/>
      <c r="AQ66" s="119"/>
      <c r="AR66" s="119"/>
      <c r="AS66" s="119"/>
      <c r="AT66" s="120"/>
      <c r="AU66" s="118" t="str">
        <f>IF([11]回答表!X42="○",[11]回答表!J118,IF([11]回答表!AA42="○",[11]回答表!J131,""))</f>
        <v/>
      </c>
      <c r="AV66" s="119"/>
      <c r="AW66" s="119"/>
      <c r="AX66" s="119"/>
      <c r="AY66" s="119"/>
      <c r="AZ66" s="119"/>
      <c r="BA66" s="119"/>
      <c r="BB66" s="120"/>
      <c r="BC66" s="40"/>
      <c r="BD66" s="35"/>
      <c r="BE66" s="82" t="str">
        <f>IF([11]回答表!X42="○",[11]回答表!V117,IF([11]回答表!AA42="○",[11]回答表!V130,""))</f>
        <v/>
      </c>
      <c r="BF66" s="83"/>
      <c r="BG66" s="83"/>
      <c r="BH66" s="83"/>
      <c r="BI66" s="82" t="str">
        <f>IF([11]回答表!X42="○",[11]回答表!V118,IF([11]回答表!AA42="○",[11]回答表!V131,""))</f>
        <v/>
      </c>
      <c r="BJ66" s="83"/>
      <c r="BK66" s="83"/>
      <c r="BL66" s="83"/>
      <c r="BM66" s="82" t="str">
        <f>IF([11]回答表!X42="○",[11]回答表!V119,IF([11]回答表!AA42="○",[11]回答表!V132,""))</f>
        <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IF([11]回答表!AA42="○","○","")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IF([11]回答表!AD42="○","○","")</f>
        <v/>
      </c>
      <c r="O75" s="98"/>
      <c r="P75" s="98"/>
      <c r="Q75" s="99"/>
      <c r="R75" s="39"/>
      <c r="S75" s="39"/>
      <c r="T75" s="39"/>
      <c r="U75" s="106" t="str">
        <f>IF([11]回答表!AD42="○",[11]回答表!B137,"")</f>
        <v/>
      </c>
      <c r="V75" s="107"/>
      <c r="W75" s="107"/>
      <c r="X75" s="107"/>
      <c r="Y75" s="107"/>
      <c r="Z75" s="107"/>
      <c r="AA75" s="107"/>
      <c r="AB75" s="107"/>
      <c r="AC75" s="107"/>
      <c r="AD75" s="107"/>
      <c r="AE75" s="107"/>
      <c r="AF75" s="107"/>
      <c r="AG75" s="107"/>
      <c r="AH75" s="107"/>
      <c r="AI75" s="107"/>
      <c r="AJ75" s="108"/>
      <c r="AK75" s="56"/>
      <c r="AL75" s="56"/>
      <c r="AM75" s="106" t="str">
        <f>IF([11]回答表!AD42="○",[11]回答表!B143,"")</f>
        <v/>
      </c>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8"/>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109"/>
      <c r="V76" s="110"/>
      <c r="W76" s="110"/>
      <c r="X76" s="110"/>
      <c r="Y76" s="110"/>
      <c r="Z76" s="110"/>
      <c r="AA76" s="110"/>
      <c r="AB76" s="110"/>
      <c r="AC76" s="110"/>
      <c r="AD76" s="110"/>
      <c r="AE76" s="110"/>
      <c r="AF76" s="110"/>
      <c r="AG76" s="110"/>
      <c r="AH76" s="110"/>
      <c r="AI76" s="110"/>
      <c r="AJ76" s="111"/>
      <c r="AK76" s="56"/>
      <c r="AL76" s="56"/>
      <c r="AM76" s="109"/>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1"/>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109"/>
      <c r="V77" s="110"/>
      <c r="W77" s="110"/>
      <c r="X77" s="110"/>
      <c r="Y77" s="110"/>
      <c r="Z77" s="110"/>
      <c r="AA77" s="110"/>
      <c r="AB77" s="110"/>
      <c r="AC77" s="110"/>
      <c r="AD77" s="110"/>
      <c r="AE77" s="110"/>
      <c r="AF77" s="110"/>
      <c r="AG77" s="110"/>
      <c r="AH77" s="110"/>
      <c r="AI77" s="110"/>
      <c r="AJ77" s="111"/>
      <c r="AK77" s="56"/>
      <c r="AL77" s="56"/>
      <c r="AM77" s="109"/>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1"/>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112"/>
      <c r="V78" s="113"/>
      <c r="W78" s="113"/>
      <c r="X78" s="113"/>
      <c r="Y78" s="113"/>
      <c r="Z78" s="113"/>
      <c r="AA78" s="113"/>
      <c r="AB78" s="113"/>
      <c r="AC78" s="113"/>
      <c r="AD78" s="113"/>
      <c r="AE78" s="113"/>
      <c r="AF78" s="113"/>
      <c r="AG78" s="113"/>
      <c r="AH78" s="113"/>
      <c r="AI78" s="113"/>
      <c r="AJ78" s="114"/>
      <c r="AK78" s="56"/>
      <c r="AL78" s="56"/>
      <c r="AM78" s="112"/>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4"/>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62"/>
      <c r="AS81" s="162"/>
      <c r="AT81" s="162"/>
      <c r="AU81" s="162"/>
      <c r="AV81" s="162"/>
      <c r="AW81" s="162"/>
      <c r="AX81" s="162"/>
      <c r="AY81" s="162"/>
      <c r="AZ81" s="162"/>
      <c r="BA81" s="162"/>
      <c r="BB81" s="162"/>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87"/>
      <c r="AS82" s="187"/>
      <c r="AT82" s="187"/>
      <c r="AU82" s="187"/>
      <c r="AV82" s="187"/>
      <c r="AW82" s="187"/>
      <c r="AX82" s="187"/>
      <c r="AY82" s="187"/>
      <c r="AZ82" s="187"/>
      <c r="BA82" s="187"/>
      <c r="BB82" s="187"/>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81" t="s">
        <v>18</v>
      </c>
      <c r="E87" s="181"/>
      <c r="F87" s="181"/>
      <c r="G87" s="181"/>
      <c r="H87" s="181"/>
      <c r="I87" s="181"/>
      <c r="J87" s="181"/>
      <c r="K87" s="181"/>
      <c r="L87" s="181"/>
      <c r="M87" s="181"/>
      <c r="N87" s="97" t="str">
        <f>IF([11]回答表!F17="水道事業",IF([11]回答表!X43="○","○",""),"")</f>
        <v/>
      </c>
      <c r="O87" s="98"/>
      <c r="P87" s="98"/>
      <c r="Q87" s="99"/>
      <c r="R87" s="39"/>
      <c r="S87" s="39"/>
      <c r="T87" s="39"/>
      <c r="U87" s="188" t="s">
        <v>41</v>
      </c>
      <c r="V87" s="189"/>
      <c r="W87" s="189"/>
      <c r="X87" s="189"/>
      <c r="Y87" s="189"/>
      <c r="Z87" s="189"/>
      <c r="AA87" s="189"/>
      <c r="AB87" s="189"/>
      <c r="AC87" s="188" t="s">
        <v>42</v>
      </c>
      <c r="AD87" s="189"/>
      <c r="AE87" s="189"/>
      <c r="AF87" s="189"/>
      <c r="AG87" s="189"/>
      <c r="AH87" s="189"/>
      <c r="AI87" s="189"/>
      <c r="AJ87" s="198"/>
      <c r="AK87" s="50"/>
      <c r="AL87" s="50"/>
      <c r="AM87" s="106" t="str">
        <f>IF([11]回答表!F17="水道事業",IF([11]回答表!X43="○",[11]回答表!B154,IF([11]回答表!AA43="○",[11]回答表!B201,"")),"")</f>
        <v/>
      </c>
      <c r="AN87" s="107"/>
      <c r="AO87" s="107"/>
      <c r="AP87" s="107"/>
      <c r="AQ87" s="107"/>
      <c r="AR87" s="107"/>
      <c r="AS87" s="107"/>
      <c r="AT87" s="107"/>
      <c r="AU87" s="107"/>
      <c r="AV87" s="107"/>
      <c r="AW87" s="107"/>
      <c r="AX87" s="107"/>
      <c r="AY87" s="107"/>
      <c r="AZ87" s="107"/>
      <c r="BA87" s="107"/>
      <c r="BB87" s="108"/>
      <c r="BC87" s="40"/>
      <c r="BD87" s="35"/>
      <c r="BE87" s="115" t="str">
        <f>IF([11]回答表!F17="水道事業",IF([11]回答表!X43="○",[11]回答表!B190,IF([11]回答表!AA43="○",[11]回答表!B238,"")),"")</f>
        <v/>
      </c>
      <c r="BF87" s="116"/>
      <c r="BG87" s="116"/>
      <c r="BH87" s="116"/>
      <c r="BI87" s="115"/>
      <c r="BJ87" s="116"/>
      <c r="BK87" s="116"/>
      <c r="BL87" s="116"/>
      <c r="BM87" s="115"/>
      <c r="BN87" s="116"/>
      <c r="BO87" s="116"/>
      <c r="BP87" s="117"/>
      <c r="BQ87" s="38"/>
    </row>
    <row r="88" spans="3:69" ht="19.350000000000001" customHeight="1" x14ac:dyDescent="0.4">
      <c r="C88" s="33"/>
      <c r="D88" s="181"/>
      <c r="E88" s="181"/>
      <c r="F88" s="181"/>
      <c r="G88" s="181"/>
      <c r="H88" s="181"/>
      <c r="I88" s="181"/>
      <c r="J88" s="181"/>
      <c r="K88" s="181"/>
      <c r="L88" s="181"/>
      <c r="M88" s="181"/>
      <c r="N88" s="100"/>
      <c r="O88" s="101"/>
      <c r="P88" s="101"/>
      <c r="Q88" s="102"/>
      <c r="R88" s="39"/>
      <c r="S88" s="39"/>
      <c r="T88" s="39"/>
      <c r="U88" s="190"/>
      <c r="V88" s="191"/>
      <c r="W88" s="191"/>
      <c r="X88" s="191"/>
      <c r="Y88" s="191"/>
      <c r="Z88" s="191"/>
      <c r="AA88" s="191"/>
      <c r="AB88" s="191"/>
      <c r="AC88" s="190"/>
      <c r="AD88" s="191"/>
      <c r="AE88" s="191"/>
      <c r="AF88" s="191"/>
      <c r="AG88" s="191"/>
      <c r="AH88" s="191"/>
      <c r="AI88" s="191"/>
      <c r="AJ88" s="199"/>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81"/>
      <c r="E89" s="181"/>
      <c r="F89" s="181"/>
      <c r="G89" s="181"/>
      <c r="H89" s="181"/>
      <c r="I89" s="181"/>
      <c r="J89" s="181"/>
      <c r="K89" s="181"/>
      <c r="L89" s="181"/>
      <c r="M89" s="181"/>
      <c r="N89" s="100"/>
      <c r="O89" s="101"/>
      <c r="P89" s="101"/>
      <c r="Q89" s="102"/>
      <c r="R89" s="39"/>
      <c r="S89" s="39"/>
      <c r="T89" s="39"/>
      <c r="U89" s="118" t="str">
        <f>IF([11]回答表!F17="水道事業",IF([11]回答表!X43="○",[11]回答表!J162,IF([11]回答表!AA43="○",[11]回答表!J209,"")),"")</f>
        <v/>
      </c>
      <c r="V89" s="119"/>
      <c r="W89" s="119"/>
      <c r="X89" s="119"/>
      <c r="Y89" s="119"/>
      <c r="Z89" s="119"/>
      <c r="AA89" s="119"/>
      <c r="AB89" s="120"/>
      <c r="AC89" s="118" t="str">
        <f>IF([11]回答表!F17="水道事業",IF([11]回答表!X43="○",[11]回答表!J169,IF([11]回答表!AA43="○",[11]回答表!J216,"")),"")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81"/>
      <c r="E90" s="181"/>
      <c r="F90" s="181"/>
      <c r="G90" s="181"/>
      <c r="H90" s="181"/>
      <c r="I90" s="181"/>
      <c r="J90" s="181"/>
      <c r="K90" s="181"/>
      <c r="L90" s="181"/>
      <c r="M90" s="181"/>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IF([11]回答表!F17="水道事業",IF([11]回答表!X43="○",[11]回答表!E190,IF([11]回答表!AA43="○",[11]回答表!E238,"")),"")</f>
        <v/>
      </c>
      <c r="BF90" s="83"/>
      <c r="BG90" s="83"/>
      <c r="BH90" s="83"/>
      <c r="BI90" s="82" t="str">
        <f>IF([11]回答表!F17="水道事業",IF([11]回答表!X43="○",[11]回答表!E191,IF([11]回答表!AA43="○",[11]回答表!E239,"")),"")</f>
        <v/>
      </c>
      <c r="BJ90" s="83"/>
      <c r="BK90" s="83"/>
      <c r="BL90" s="83"/>
      <c r="BM90" s="82" t="str">
        <f>IF([11]回答表!F17="水道事業",IF([11]回答表!X43="○",[11]回答表!E192,IF([11]回答表!AA43="○",[11]回答表!E240,"")),"")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88" t="s">
        <v>43</v>
      </c>
      <c r="V92" s="189"/>
      <c r="W92" s="189"/>
      <c r="X92" s="189"/>
      <c r="Y92" s="189"/>
      <c r="Z92" s="189"/>
      <c r="AA92" s="189"/>
      <c r="AB92" s="189"/>
      <c r="AC92" s="188" t="s">
        <v>44</v>
      </c>
      <c r="AD92" s="189"/>
      <c r="AE92" s="189"/>
      <c r="AF92" s="189"/>
      <c r="AG92" s="189"/>
      <c r="AH92" s="189"/>
      <c r="AI92" s="189"/>
      <c r="AJ92" s="198"/>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86" t="s">
        <v>26</v>
      </c>
      <c r="E93" s="181"/>
      <c r="F93" s="181"/>
      <c r="G93" s="181"/>
      <c r="H93" s="181"/>
      <c r="I93" s="181"/>
      <c r="J93" s="181"/>
      <c r="K93" s="181"/>
      <c r="L93" s="181"/>
      <c r="M93" s="182"/>
      <c r="N93" s="97" t="str">
        <f>IF([11]回答表!F17="水道事業",IF([11]回答表!AA43="○","○",""),"")</f>
        <v/>
      </c>
      <c r="O93" s="98"/>
      <c r="P93" s="98"/>
      <c r="Q93" s="99"/>
      <c r="R93" s="39"/>
      <c r="S93" s="39"/>
      <c r="T93" s="39"/>
      <c r="U93" s="190"/>
      <c r="V93" s="191"/>
      <c r="W93" s="191"/>
      <c r="X93" s="191"/>
      <c r="Y93" s="191"/>
      <c r="Z93" s="191"/>
      <c r="AA93" s="191"/>
      <c r="AB93" s="191"/>
      <c r="AC93" s="190"/>
      <c r="AD93" s="191"/>
      <c r="AE93" s="191"/>
      <c r="AF93" s="191"/>
      <c r="AG93" s="191"/>
      <c r="AH93" s="191"/>
      <c r="AI93" s="191"/>
      <c r="AJ93" s="199"/>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81"/>
      <c r="E94" s="181"/>
      <c r="F94" s="181"/>
      <c r="G94" s="181"/>
      <c r="H94" s="181"/>
      <c r="I94" s="181"/>
      <c r="J94" s="181"/>
      <c r="K94" s="181"/>
      <c r="L94" s="181"/>
      <c r="M94" s="182"/>
      <c r="N94" s="100"/>
      <c r="O94" s="101"/>
      <c r="P94" s="101"/>
      <c r="Q94" s="102"/>
      <c r="R94" s="39"/>
      <c r="S94" s="39"/>
      <c r="T94" s="39"/>
      <c r="U94" s="118" t="str">
        <f>IF([11]回答表!F17="水道事業",IF([11]回答表!X43="○",[11]回答表!J172,IF([11]回答表!AA43="○",[11]回答表!J219,"")),"")</f>
        <v/>
      </c>
      <c r="V94" s="119"/>
      <c r="W94" s="119"/>
      <c r="X94" s="119"/>
      <c r="Y94" s="119"/>
      <c r="Z94" s="119"/>
      <c r="AA94" s="119"/>
      <c r="AB94" s="120"/>
      <c r="AC94" s="118" t="str">
        <f>IF([11]回答表!F17="水道事業",IF([11]回答表!X43="○",[11]回答表!J176,IF([11]回答表!AA43="○",[11]回答表!J223,"")),"")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81"/>
      <c r="E95" s="181"/>
      <c r="F95" s="181"/>
      <c r="G95" s="181"/>
      <c r="H95" s="181"/>
      <c r="I95" s="181"/>
      <c r="J95" s="181"/>
      <c r="K95" s="181"/>
      <c r="L95" s="181"/>
      <c r="M95" s="182"/>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81"/>
      <c r="E96" s="181"/>
      <c r="F96" s="181"/>
      <c r="G96" s="181"/>
      <c r="H96" s="181"/>
      <c r="I96" s="181"/>
      <c r="J96" s="181"/>
      <c r="K96" s="181"/>
      <c r="L96" s="181"/>
      <c r="M96" s="182"/>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81" t="s">
        <v>34</v>
      </c>
      <c r="E99" s="181"/>
      <c r="F99" s="181"/>
      <c r="G99" s="181"/>
      <c r="H99" s="181"/>
      <c r="I99" s="181"/>
      <c r="J99" s="181"/>
      <c r="K99" s="181"/>
      <c r="L99" s="181"/>
      <c r="M99" s="182"/>
      <c r="N99" s="97" t="str">
        <f>IF([11]回答表!F17="水道事業",IF([11]回答表!AD43="○","○",""),"")</f>
        <v>○</v>
      </c>
      <c r="O99" s="98"/>
      <c r="P99" s="98"/>
      <c r="Q99" s="99"/>
      <c r="R99" s="39"/>
      <c r="S99" s="39"/>
      <c r="T99" s="39"/>
      <c r="U99" s="106" t="str">
        <f>IF([11]回答表!F17="水道事業",IF([11]回答表!AD43="○",[11]回答表!B249,""),"")</f>
        <v>経営面などソフト部門の統合</v>
      </c>
      <c r="V99" s="107"/>
      <c r="W99" s="107"/>
      <c r="X99" s="107"/>
      <c r="Y99" s="107"/>
      <c r="Z99" s="107"/>
      <c r="AA99" s="107"/>
      <c r="AB99" s="107"/>
      <c r="AC99" s="107"/>
      <c r="AD99" s="107"/>
      <c r="AE99" s="107"/>
      <c r="AF99" s="107"/>
      <c r="AG99" s="107"/>
      <c r="AH99" s="107"/>
      <c r="AI99" s="107"/>
      <c r="AJ99" s="108"/>
      <c r="AK99" s="56"/>
      <c r="AL99" s="56"/>
      <c r="AM99" s="203" t="str">
        <f>IF([11]回答表!F17="水道事業",IF([11]回答表!AD43="○",[11]回答表!B255,""),"")</f>
        <v>県が主体となって検討している段階で、令和元年度は進展がなかった。施設の統合について、隣接する自治体の施設とは距離があるため困難と思われる。</v>
      </c>
      <c r="AN99" s="204"/>
      <c r="AO99" s="204"/>
      <c r="AP99" s="204"/>
      <c r="AQ99" s="204"/>
      <c r="AR99" s="204"/>
      <c r="AS99" s="204"/>
      <c r="AT99" s="204"/>
      <c r="AU99" s="204"/>
      <c r="AV99" s="204"/>
      <c r="AW99" s="204"/>
      <c r="AX99" s="204"/>
      <c r="AY99" s="204"/>
      <c r="AZ99" s="204"/>
      <c r="BA99" s="204"/>
      <c r="BB99" s="204"/>
      <c r="BC99" s="204"/>
      <c r="BD99" s="204"/>
      <c r="BE99" s="204"/>
      <c r="BF99" s="204"/>
      <c r="BG99" s="204"/>
      <c r="BH99" s="204"/>
      <c r="BI99" s="204"/>
      <c r="BJ99" s="204"/>
      <c r="BK99" s="204"/>
      <c r="BL99" s="204"/>
      <c r="BM99" s="204"/>
      <c r="BN99" s="204"/>
      <c r="BO99" s="204"/>
      <c r="BP99" s="205"/>
      <c r="BQ99" s="38"/>
    </row>
    <row r="100" spans="1:70" ht="15.6" customHeight="1" x14ac:dyDescent="0.4">
      <c r="C100" s="33"/>
      <c r="D100" s="181"/>
      <c r="E100" s="181"/>
      <c r="F100" s="181"/>
      <c r="G100" s="181"/>
      <c r="H100" s="181"/>
      <c r="I100" s="181"/>
      <c r="J100" s="181"/>
      <c r="K100" s="181"/>
      <c r="L100" s="181"/>
      <c r="M100" s="182"/>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206"/>
      <c r="AN100" s="207"/>
      <c r="AO100" s="207"/>
      <c r="AP100" s="207"/>
      <c r="AQ100" s="207"/>
      <c r="AR100" s="207"/>
      <c r="AS100" s="207"/>
      <c r="AT100" s="207"/>
      <c r="AU100" s="207"/>
      <c r="AV100" s="207"/>
      <c r="AW100" s="207"/>
      <c r="AX100" s="207"/>
      <c r="AY100" s="207"/>
      <c r="AZ100" s="207"/>
      <c r="BA100" s="207"/>
      <c r="BB100" s="207"/>
      <c r="BC100" s="207"/>
      <c r="BD100" s="207"/>
      <c r="BE100" s="207"/>
      <c r="BF100" s="207"/>
      <c r="BG100" s="207"/>
      <c r="BH100" s="207"/>
      <c r="BI100" s="207"/>
      <c r="BJ100" s="207"/>
      <c r="BK100" s="207"/>
      <c r="BL100" s="207"/>
      <c r="BM100" s="207"/>
      <c r="BN100" s="207"/>
      <c r="BO100" s="207"/>
      <c r="BP100" s="208"/>
      <c r="BQ100" s="38"/>
    </row>
    <row r="101" spans="1:70" ht="15.6" customHeight="1" x14ac:dyDescent="0.4">
      <c r="C101" s="33"/>
      <c r="D101" s="181"/>
      <c r="E101" s="181"/>
      <c r="F101" s="181"/>
      <c r="G101" s="181"/>
      <c r="H101" s="181"/>
      <c r="I101" s="181"/>
      <c r="J101" s="181"/>
      <c r="K101" s="181"/>
      <c r="L101" s="181"/>
      <c r="M101" s="182"/>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206"/>
      <c r="AN101" s="207"/>
      <c r="AO101" s="207"/>
      <c r="AP101" s="207"/>
      <c r="AQ101" s="207"/>
      <c r="AR101" s="207"/>
      <c r="AS101" s="207"/>
      <c r="AT101" s="207"/>
      <c r="AU101" s="207"/>
      <c r="AV101" s="207"/>
      <c r="AW101" s="207"/>
      <c r="AX101" s="207"/>
      <c r="AY101" s="207"/>
      <c r="AZ101" s="207"/>
      <c r="BA101" s="207"/>
      <c r="BB101" s="207"/>
      <c r="BC101" s="207"/>
      <c r="BD101" s="207"/>
      <c r="BE101" s="207"/>
      <c r="BF101" s="207"/>
      <c r="BG101" s="207"/>
      <c r="BH101" s="207"/>
      <c r="BI101" s="207"/>
      <c r="BJ101" s="207"/>
      <c r="BK101" s="207"/>
      <c r="BL101" s="207"/>
      <c r="BM101" s="207"/>
      <c r="BN101" s="207"/>
      <c r="BO101" s="207"/>
      <c r="BP101" s="208"/>
      <c r="BQ101" s="38"/>
    </row>
    <row r="102" spans="1:70" ht="15.6" customHeight="1" x14ac:dyDescent="0.4">
      <c r="C102" s="33"/>
      <c r="D102" s="181"/>
      <c r="E102" s="181"/>
      <c r="F102" s="181"/>
      <c r="G102" s="181"/>
      <c r="H102" s="181"/>
      <c r="I102" s="181"/>
      <c r="J102" s="181"/>
      <c r="K102" s="181"/>
      <c r="L102" s="181"/>
      <c r="M102" s="182"/>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209"/>
      <c r="AN102" s="210"/>
      <c r="AO102" s="210"/>
      <c r="AP102" s="210"/>
      <c r="AQ102" s="210"/>
      <c r="AR102" s="210"/>
      <c r="AS102" s="210"/>
      <c r="AT102" s="210"/>
      <c r="AU102" s="210"/>
      <c r="AV102" s="210"/>
      <c r="AW102" s="210"/>
      <c r="AX102" s="210"/>
      <c r="AY102" s="210"/>
      <c r="AZ102" s="210"/>
      <c r="BA102" s="210"/>
      <c r="BB102" s="210"/>
      <c r="BC102" s="210"/>
      <c r="BD102" s="210"/>
      <c r="BE102" s="210"/>
      <c r="BF102" s="210"/>
      <c r="BG102" s="210"/>
      <c r="BH102" s="210"/>
      <c r="BI102" s="210"/>
      <c r="BJ102" s="210"/>
      <c r="BK102" s="210"/>
      <c r="BL102" s="210"/>
      <c r="BM102" s="210"/>
      <c r="BN102" s="210"/>
      <c r="BO102" s="210"/>
      <c r="BP102" s="211"/>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62"/>
      <c r="AS105" s="162"/>
      <c r="AT105" s="162"/>
      <c r="AU105" s="162"/>
      <c r="AV105" s="162"/>
      <c r="AW105" s="162"/>
      <c r="AX105" s="162"/>
      <c r="AY105" s="162"/>
      <c r="AZ105" s="162"/>
      <c r="BA105" s="162"/>
      <c r="BB105" s="162"/>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87"/>
      <c r="AS106" s="187"/>
      <c r="AT106" s="187"/>
      <c r="AU106" s="187"/>
      <c r="AV106" s="187"/>
      <c r="AW106" s="187"/>
      <c r="AX106" s="187"/>
      <c r="AY106" s="187"/>
      <c r="AZ106" s="187"/>
      <c r="BA106" s="187"/>
      <c r="BB106" s="187"/>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81" t="s">
        <v>18</v>
      </c>
      <c r="E111" s="181"/>
      <c r="F111" s="181"/>
      <c r="G111" s="181"/>
      <c r="H111" s="181"/>
      <c r="I111" s="181"/>
      <c r="J111" s="181"/>
      <c r="K111" s="181"/>
      <c r="L111" s="181"/>
      <c r="M111" s="181"/>
      <c r="N111" s="97" t="str">
        <f>IF([11]回答表!F17="簡易水道事業",IF([11]回答表!X43="○","○",""),"")</f>
        <v/>
      </c>
      <c r="O111" s="98"/>
      <c r="P111" s="98"/>
      <c r="Q111" s="99"/>
      <c r="R111" s="39"/>
      <c r="S111" s="39"/>
      <c r="T111" s="39"/>
      <c r="U111" s="188" t="s">
        <v>46</v>
      </c>
      <c r="V111" s="189"/>
      <c r="W111" s="189"/>
      <c r="X111" s="189"/>
      <c r="Y111" s="189"/>
      <c r="Z111" s="189"/>
      <c r="AA111" s="189"/>
      <c r="AB111" s="189"/>
      <c r="AC111" s="189"/>
      <c r="AD111" s="189"/>
      <c r="AE111" s="189"/>
      <c r="AF111" s="189"/>
      <c r="AG111" s="189"/>
      <c r="AH111" s="189"/>
      <c r="AI111" s="189"/>
      <c r="AJ111" s="198"/>
      <c r="AK111" s="50"/>
      <c r="AL111" s="50"/>
      <c r="AM111" s="106" t="str">
        <f>IF([11]回答表!F17="簡易水道事業",IF([11]回答表!X43="○",[11]回答表!B154,IF([11]回答表!AA43="○",[11]回答表!B201,"")),"")</f>
        <v/>
      </c>
      <c r="AN111" s="107"/>
      <c r="AO111" s="107"/>
      <c r="AP111" s="107"/>
      <c r="AQ111" s="107"/>
      <c r="AR111" s="107"/>
      <c r="AS111" s="107"/>
      <c r="AT111" s="107"/>
      <c r="AU111" s="107"/>
      <c r="AV111" s="107"/>
      <c r="AW111" s="107"/>
      <c r="AX111" s="107"/>
      <c r="AY111" s="107"/>
      <c r="AZ111" s="107"/>
      <c r="BA111" s="107"/>
      <c r="BB111" s="108"/>
      <c r="BC111" s="40"/>
      <c r="BD111" s="35"/>
      <c r="BE111" s="115" t="str">
        <f>IF([11]回答表!F17="簡易水道事業",IF([11]回答表!X43="○",[11]回答表!B190,IF([11]回答表!AA43="○",[11]回答表!B238,"")),"")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81"/>
      <c r="E112" s="181"/>
      <c r="F112" s="181"/>
      <c r="G112" s="181"/>
      <c r="H112" s="181"/>
      <c r="I112" s="181"/>
      <c r="J112" s="181"/>
      <c r="K112" s="181"/>
      <c r="L112" s="181"/>
      <c r="M112" s="181"/>
      <c r="N112" s="100"/>
      <c r="O112" s="101"/>
      <c r="P112" s="101"/>
      <c r="Q112" s="102"/>
      <c r="R112" s="39"/>
      <c r="S112" s="39"/>
      <c r="T112" s="39"/>
      <c r="U112" s="200"/>
      <c r="V112" s="201"/>
      <c r="W112" s="201"/>
      <c r="X112" s="201"/>
      <c r="Y112" s="201"/>
      <c r="Z112" s="201"/>
      <c r="AA112" s="201"/>
      <c r="AB112" s="201"/>
      <c r="AC112" s="201"/>
      <c r="AD112" s="201"/>
      <c r="AE112" s="201"/>
      <c r="AF112" s="201"/>
      <c r="AG112" s="201"/>
      <c r="AH112" s="201"/>
      <c r="AI112" s="201"/>
      <c r="AJ112" s="202"/>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81"/>
      <c r="E113" s="181"/>
      <c r="F113" s="181"/>
      <c r="G113" s="181"/>
      <c r="H113" s="181"/>
      <c r="I113" s="181"/>
      <c r="J113" s="181"/>
      <c r="K113" s="181"/>
      <c r="L113" s="181"/>
      <c r="M113" s="181"/>
      <c r="N113" s="100"/>
      <c r="O113" s="101"/>
      <c r="P113" s="101"/>
      <c r="Q113" s="102"/>
      <c r="R113" s="39"/>
      <c r="S113" s="39"/>
      <c r="T113" s="39"/>
      <c r="U113" s="118" t="str">
        <f>IF([11]回答表!F17="簡易水道事業",IF([11]回答表!X43="○",[11]回答表!Y181,IF([11]回答表!AA43="○",[11]回答表!Y229,"")),"")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81"/>
      <c r="E114" s="181"/>
      <c r="F114" s="181"/>
      <c r="G114" s="181"/>
      <c r="H114" s="181"/>
      <c r="I114" s="181"/>
      <c r="J114" s="181"/>
      <c r="K114" s="181"/>
      <c r="L114" s="181"/>
      <c r="M114" s="181"/>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IF([11]回答表!F17="簡易水道事業",IF([11]回答表!X43="○",[11]回答表!E190,IF([11]回答表!AA43="○",[11]回答表!E238,"")),"")</f>
        <v/>
      </c>
      <c r="BF114" s="83"/>
      <c r="BG114" s="83"/>
      <c r="BH114" s="83"/>
      <c r="BI114" s="82" t="str">
        <f>IF([11]回答表!F17="簡易水道事業",IF([11]回答表!X43="○",[11]回答表!E191,IF([11]回答表!AA43="○",[11]回答表!E239,"")),"")</f>
        <v/>
      </c>
      <c r="BJ114" s="83"/>
      <c r="BK114" s="83"/>
      <c r="BL114" s="83"/>
      <c r="BM114" s="82" t="str">
        <f>IF([11]回答表!F17="簡易水道事業",IF([11]回答表!X43="○",[11]回答表!E192,IF([11]回答表!AA43="○",[11]回答表!E240,"")),"")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88" t="s">
        <v>47</v>
      </c>
      <c r="V116" s="189"/>
      <c r="W116" s="189"/>
      <c r="X116" s="189"/>
      <c r="Y116" s="189"/>
      <c r="Z116" s="189"/>
      <c r="AA116" s="189"/>
      <c r="AB116" s="189"/>
      <c r="AC116" s="189"/>
      <c r="AD116" s="189"/>
      <c r="AE116" s="189"/>
      <c r="AF116" s="189"/>
      <c r="AG116" s="189"/>
      <c r="AH116" s="189"/>
      <c r="AI116" s="189"/>
      <c r="AJ116" s="198"/>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86" t="s">
        <v>26</v>
      </c>
      <c r="E117" s="181"/>
      <c r="F117" s="181"/>
      <c r="G117" s="181"/>
      <c r="H117" s="181"/>
      <c r="I117" s="181"/>
      <c r="J117" s="181"/>
      <c r="K117" s="181"/>
      <c r="L117" s="181"/>
      <c r="M117" s="182"/>
      <c r="N117" s="97" t="str">
        <f>IF([11]回答表!F17="簡易水道事業",IF([11]回答表!AA43="○","○",""),"")</f>
        <v/>
      </c>
      <c r="O117" s="98"/>
      <c r="P117" s="98"/>
      <c r="Q117" s="99"/>
      <c r="R117" s="39"/>
      <c r="S117" s="39"/>
      <c r="T117" s="39"/>
      <c r="U117" s="200"/>
      <c r="V117" s="201"/>
      <c r="W117" s="201"/>
      <c r="X117" s="201"/>
      <c r="Y117" s="201"/>
      <c r="Z117" s="201"/>
      <c r="AA117" s="201"/>
      <c r="AB117" s="201"/>
      <c r="AC117" s="201"/>
      <c r="AD117" s="201"/>
      <c r="AE117" s="201"/>
      <c r="AF117" s="201"/>
      <c r="AG117" s="201"/>
      <c r="AH117" s="201"/>
      <c r="AI117" s="201"/>
      <c r="AJ117" s="202"/>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81"/>
      <c r="E118" s="181"/>
      <c r="F118" s="181"/>
      <c r="G118" s="181"/>
      <c r="H118" s="181"/>
      <c r="I118" s="181"/>
      <c r="J118" s="181"/>
      <c r="K118" s="181"/>
      <c r="L118" s="181"/>
      <c r="M118" s="182"/>
      <c r="N118" s="100"/>
      <c r="O118" s="101"/>
      <c r="P118" s="101"/>
      <c r="Q118" s="102"/>
      <c r="R118" s="39"/>
      <c r="S118" s="39"/>
      <c r="T118" s="39"/>
      <c r="U118" s="118" t="str">
        <f>IF([11]回答表!F17="簡易水道事業",IF([11]回答表!X43="○",[11]回答表!Y182,IF([11]回答表!AA43="○",[11]回答表!Y230,"")),"")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81"/>
      <c r="E119" s="181"/>
      <c r="F119" s="181"/>
      <c r="G119" s="181"/>
      <c r="H119" s="181"/>
      <c r="I119" s="181"/>
      <c r="J119" s="181"/>
      <c r="K119" s="181"/>
      <c r="L119" s="181"/>
      <c r="M119" s="182"/>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81"/>
      <c r="E120" s="181"/>
      <c r="F120" s="181"/>
      <c r="G120" s="181"/>
      <c r="H120" s="181"/>
      <c r="I120" s="181"/>
      <c r="J120" s="181"/>
      <c r="K120" s="181"/>
      <c r="L120" s="181"/>
      <c r="M120" s="182"/>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81" t="s">
        <v>34</v>
      </c>
      <c r="E123" s="181"/>
      <c r="F123" s="181"/>
      <c r="G123" s="181"/>
      <c r="H123" s="181"/>
      <c r="I123" s="181"/>
      <c r="J123" s="181"/>
      <c r="K123" s="181"/>
      <c r="L123" s="181"/>
      <c r="M123" s="182"/>
      <c r="N123" s="97" t="str">
        <f>IF([11]回答表!F17="簡易水道事業",IF([11]回答表!AD43="○","○",""),"")</f>
        <v/>
      </c>
      <c r="O123" s="98"/>
      <c r="P123" s="98"/>
      <c r="Q123" s="99"/>
      <c r="R123" s="39"/>
      <c r="S123" s="39"/>
      <c r="T123" s="39"/>
      <c r="U123" s="106" t="str">
        <f>IF([11]回答表!F17="簡易水道事業",IF([11]回答表!AD43="○",[11]回答表!B249,""),"")</f>
        <v/>
      </c>
      <c r="V123" s="107"/>
      <c r="W123" s="107"/>
      <c r="X123" s="107"/>
      <c r="Y123" s="107"/>
      <c r="Z123" s="107"/>
      <c r="AA123" s="107"/>
      <c r="AB123" s="107"/>
      <c r="AC123" s="107"/>
      <c r="AD123" s="107"/>
      <c r="AE123" s="107"/>
      <c r="AF123" s="107"/>
      <c r="AG123" s="107"/>
      <c r="AH123" s="107"/>
      <c r="AI123" s="107"/>
      <c r="AJ123" s="108"/>
      <c r="AK123" s="56"/>
      <c r="AL123" s="56"/>
      <c r="AM123" s="106" t="str">
        <f>IF([11]回答表!F17="簡易水道事業",IF([11]回答表!AD43="○",[11]回答表!B255,""),"")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81"/>
      <c r="E124" s="181"/>
      <c r="F124" s="181"/>
      <c r="G124" s="181"/>
      <c r="H124" s="181"/>
      <c r="I124" s="181"/>
      <c r="J124" s="181"/>
      <c r="K124" s="181"/>
      <c r="L124" s="181"/>
      <c r="M124" s="182"/>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81"/>
      <c r="E125" s="181"/>
      <c r="F125" s="181"/>
      <c r="G125" s="181"/>
      <c r="H125" s="181"/>
      <c r="I125" s="181"/>
      <c r="J125" s="181"/>
      <c r="K125" s="181"/>
      <c r="L125" s="181"/>
      <c r="M125" s="182"/>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81"/>
      <c r="E126" s="181"/>
      <c r="F126" s="181"/>
      <c r="G126" s="181"/>
      <c r="H126" s="181"/>
      <c r="I126" s="181"/>
      <c r="J126" s="181"/>
      <c r="K126" s="181"/>
      <c r="L126" s="181"/>
      <c r="M126" s="182"/>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62"/>
      <c r="AS129" s="162"/>
      <c r="AT129" s="162"/>
      <c r="AU129" s="162"/>
      <c r="AV129" s="162"/>
      <c r="AW129" s="162"/>
      <c r="AX129" s="162"/>
      <c r="AY129" s="162"/>
      <c r="AZ129" s="162"/>
      <c r="BA129" s="162"/>
      <c r="BB129" s="162"/>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87"/>
      <c r="AS130" s="187"/>
      <c r="AT130" s="187"/>
      <c r="AU130" s="187"/>
      <c r="AV130" s="187"/>
      <c r="AW130" s="187"/>
      <c r="AX130" s="187"/>
      <c r="AY130" s="187"/>
      <c r="AZ130" s="187"/>
      <c r="BA130" s="187"/>
      <c r="BB130" s="187"/>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81" t="s">
        <v>18</v>
      </c>
      <c r="E135" s="181"/>
      <c r="F135" s="181"/>
      <c r="G135" s="181"/>
      <c r="H135" s="181"/>
      <c r="I135" s="181"/>
      <c r="J135" s="181"/>
      <c r="K135" s="181"/>
      <c r="L135" s="181"/>
      <c r="M135" s="181"/>
      <c r="N135" s="97" t="str">
        <f>IF([11]回答表!F17="下水道事業",IF([11]回答表!X43="○","○",""),"")</f>
        <v/>
      </c>
      <c r="O135" s="98"/>
      <c r="P135" s="98"/>
      <c r="Q135" s="99"/>
      <c r="R135" s="39"/>
      <c r="S135" s="39"/>
      <c r="T135" s="39"/>
      <c r="U135" s="188" t="s">
        <v>49</v>
      </c>
      <c r="V135" s="189"/>
      <c r="W135" s="189"/>
      <c r="X135" s="189"/>
      <c r="Y135" s="189"/>
      <c r="Z135" s="189"/>
      <c r="AA135" s="189"/>
      <c r="AB135" s="189"/>
      <c r="AC135" s="188" t="s">
        <v>50</v>
      </c>
      <c r="AD135" s="189"/>
      <c r="AE135" s="189"/>
      <c r="AF135" s="189"/>
      <c r="AG135" s="189"/>
      <c r="AH135" s="189"/>
      <c r="AI135" s="189"/>
      <c r="AJ135" s="198"/>
      <c r="AK135" s="50"/>
      <c r="AL135" s="50"/>
      <c r="AM135" s="106" t="str">
        <f>IF([11]回答表!F17="下水道事業",IF([11]回答表!X43="○",[11]回答表!B154,IF([11]回答表!AA43="○",[11]回答表!B201,"")),"")</f>
        <v/>
      </c>
      <c r="AN135" s="107"/>
      <c r="AO135" s="107"/>
      <c r="AP135" s="107"/>
      <c r="AQ135" s="107"/>
      <c r="AR135" s="107"/>
      <c r="AS135" s="107"/>
      <c r="AT135" s="107"/>
      <c r="AU135" s="107"/>
      <c r="AV135" s="107"/>
      <c r="AW135" s="107"/>
      <c r="AX135" s="107"/>
      <c r="AY135" s="107"/>
      <c r="AZ135" s="107"/>
      <c r="BA135" s="107"/>
      <c r="BB135" s="108"/>
      <c r="BC135" s="40"/>
      <c r="BD135" s="35"/>
      <c r="BE135" s="115" t="str">
        <f>IF([11]回答表!F17="下水道事業",IF([11]回答表!X43="○",[11]回答表!B190,IF([11]回答表!AA43="○",[11]回答表!B238,"")),"")</f>
        <v/>
      </c>
      <c r="BF135" s="116"/>
      <c r="BG135" s="116"/>
      <c r="BH135" s="116"/>
      <c r="BI135" s="115"/>
      <c r="BJ135" s="116"/>
      <c r="BK135" s="116"/>
      <c r="BL135" s="116"/>
      <c r="BM135" s="115"/>
      <c r="BN135" s="116"/>
      <c r="BO135" s="116"/>
      <c r="BP135" s="117"/>
      <c r="BQ135" s="38"/>
    </row>
    <row r="136" spans="3:69" ht="19.350000000000001" customHeight="1" x14ac:dyDescent="0.4">
      <c r="C136" s="33"/>
      <c r="D136" s="181"/>
      <c r="E136" s="181"/>
      <c r="F136" s="181"/>
      <c r="G136" s="181"/>
      <c r="H136" s="181"/>
      <c r="I136" s="181"/>
      <c r="J136" s="181"/>
      <c r="K136" s="181"/>
      <c r="L136" s="181"/>
      <c r="M136" s="181"/>
      <c r="N136" s="100"/>
      <c r="O136" s="101"/>
      <c r="P136" s="101"/>
      <c r="Q136" s="102"/>
      <c r="R136" s="39"/>
      <c r="S136" s="39"/>
      <c r="T136" s="39"/>
      <c r="U136" s="190"/>
      <c r="V136" s="191"/>
      <c r="W136" s="191"/>
      <c r="X136" s="191"/>
      <c r="Y136" s="191"/>
      <c r="Z136" s="191"/>
      <c r="AA136" s="191"/>
      <c r="AB136" s="191"/>
      <c r="AC136" s="190"/>
      <c r="AD136" s="191"/>
      <c r="AE136" s="191"/>
      <c r="AF136" s="191"/>
      <c r="AG136" s="191"/>
      <c r="AH136" s="191"/>
      <c r="AI136" s="191"/>
      <c r="AJ136" s="199"/>
      <c r="AK136" s="50"/>
      <c r="AL136" s="50"/>
      <c r="AM136" s="109"/>
      <c r="AN136" s="110"/>
      <c r="AO136" s="110"/>
      <c r="AP136" s="110"/>
      <c r="AQ136" s="110"/>
      <c r="AR136" s="110"/>
      <c r="AS136" s="110"/>
      <c r="AT136" s="110"/>
      <c r="AU136" s="110"/>
      <c r="AV136" s="110"/>
      <c r="AW136" s="110"/>
      <c r="AX136" s="110"/>
      <c r="AY136" s="110"/>
      <c r="AZ136" s="110"/>
      <c r="BA136" s="110"/>
      <c r="BB136" s="111"/>
      <c r="BC136" s="40"/>
      <c r="BD136" s="35"/>
      <c r="BE136" s="82"/>
      <c r="BF136" s="83"/>
      <c r="BG136" s="83"/>
      <c r="BH136" s="83"/>
      <c r="BI136" s="82"/>
      <c r="BJ136" s="83"/>
      <c r="BK136" s="83"/>
      <c r="BL136" s="83"/>
      <c r="BM136" s="82"/>
      <c r="BN136" s="83"/>
      <c r="BO136" s="83"/>
      <c r="BP136" s="86"/>
      <c r="BQ136" s="38"/>
    </row>
    <row r="137" spans="3:69" ht="15.6" customHeight="1" x14ac:dyDescent="0.4">
      <c r="C137" s="33"/>
      <c r="D137" s="181"/>
      <c r="E137" s="181"/>
      <c r="F137" s="181"/>
      <c r="G137" s="181"/>
      <c r="H137" s="181"/>
      <c r="I137" s="181"/>
      <c r="J137" s="181"/>
      <c r="K137" s="181"/>
      <c r="L137" s="181"/>
      <c r="M137" s="181"/>
      <c r="N137" s="100"/>
      <c r="O137" s="101"/>
      <c r="P137" s="101"/>
      <c r="Q137" s="102"/>
      <c r="R137" s="39"/>
      <c r="S137" s="39"/>
      <c r="T137" s="39"/>
      <c r="U137" s="118" t="str">
        <f>IF([11]回答表!F17="下水道事業",IF([11]回答表!X43="○",[11]回答表!Y184,IF([11]回答表!AA43="○",[11]回答表!Y232,"")),"")</f>
        <v/>
      </c>
      <c r="V137" s="119"/>
      <c r="W137" s="119"/>
      <c r="X137" s="119"/>
      <c r="Y137" s="119"/>
      <c r="Z137" s="119"/>
      <c r="AA137" s="119"/>
      <c r="AB137" s="120"/>
      <c r="AC137" s="118" t="str">
        <f>IF([11]回答表!F17="下水道事業",IF([11]回答表!X43="○",[11]回答表!Y185,IF([11]回答表!AA43="○",[11]回答表!Y233,"")),"")</f>
        <v/>
      </c>
      <c r="AD137" s="119"/>
      <c r="AE137" s="119"/>
      <c r="AF137" s="119"/>
      <c r="AG137" s="119"/>
      <c r="AH137" s="119"/>
      <c r="AI137" s="119"/>
      <c r="AJ137" s="120"/>
      <c r="AK137" s="50"/>
      <c r="AL137" s="50"/>
      <c r="AM137" s="109"/>
      <c r="AN137" s="110"/>
      <c r="AO137" s="110"/>
      <c r="AP137" s="110"/>
      <c r="AQ137" s="110"/>
      <c r="AR137" s="110"/>
      <c r="AS137" s="110"/>
      <c r="AT137" s="110"/>
      <c r="AU137" s="110"/>
      <c r="AV137" s="110"/>
      <c r="AW137" s="110"/>
      <c r="AX137" s="110"/>
      <c r="AY137" s="110"/>
      <c r="AZ137" s="110"/>
      <c r="BA137" s="110"/>
      <c r="BB137" s="111"/>
      <c r="BC137" s="40"/>
      <c r="BD137" s="35"/>
      <c r="BE137" s="82"/>
      <c r="BF137" s="83"/>
      <c r="BG137" s="83"/>
      <c r="BH137" s="83"/>
      <c r="BI137" s="82"/>
      <c r="BJ137" s="83"/>
      <c r="BK137" s="83"/>
      <c r="BL137" s="83"/>
      <c r="BM137" s="82"/>
      <c r="BN137" s="83"/>
      <c r="BO137" s="83"/>
      <c r="BP137" s="86"/>
      <c r="BQ137" s="38"/>
    </row>
    <row r="138" spans="3:69" ht="15.6" customHeight="1" x14ac:dyDescent="0.4">
      <c r="C138" s="33"/>
      <c r="D138" s="181"/>
      <c r="E138" s="181"/>
      <c r="F138" s="181"/>
      <c r="G138" s="181"/>
      <c r="H138" s="181"/>
      <c r="I138" s="181"/>
      <c r="J138" s="181"/>
      <c r="K138" s="181"/>
      <c r="L138" s="181"/>
      <c r="M138" s="181"/>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109"/>
      <c r="AN138" s="110"/>
      <c r="AO138" s="110"/>
      <c r="AP138" s="110"/>
      <c r="AQ138" s="110"/>
      <c r="AR138" s="110"/>
      <c r="AS138" s="110"/>
      <c r="AT138" s="110"/>
      <c r="AU138" s="110"/>
      <c r="AV138" s="110"/>
      <c r="AW138" s="110"/>
      <c r="AX138" s="110"/>
      <c r="AY138" s="110"/>
      <c r="AZ138" s="110"/>
      <c r="BA138" s="110"/>
      <c r="BB138" s="111"/>
      <c r="BC138" s="40"/>
      <c r="BD138" s="35"/>
      <c r="BE138" s="82" t="str">
        <f>IF([11]回答表!F17="下水道事業",IF([11]回答表!X43="○",[11]回答表!E190,IF([11]回答表!AA43="○",[11]回答表!E238,"")),"")</f>
        <v/>
      </c>
      <c r="BF138" s="83"/>
      <c r="BG138" s="83"/>
      <c r="BH138" s="83"/>
      <c r="BI138" s="82" t="str">
        <f>IF([11]回答表!F17="下水道事業",IF([11]回答表!X43="○",[11]回答表!E191,IF([11]回答表!AA43="○",[11]回答表!E239,"")),"")</f>
        <v/>
      </c>
      <c r="BJ138" s="83"/>
      <c r="BK138" s="83"/>
      <c r="BL138" s="83"/>
      <c r="BM138" s="82" t="str">
        <f>IF([11]回答表!F17="下水道事業",IF([11]回答表!X43="○",[11]回答表!E192,IF([11]回答表!AA43="○",[11]回答表!E240,"")),"")</f>
        <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109"/>
      <c r="AN139" s="110"/>
      <c r="AO139" s="110"/>
      <c r="AP139" s="110"/>
      <c r="AQ139" s="110"/>
      <c r="AR139" s="110"/>
      <c r="AS139" s="110"/>
      <c r="AT139" s="110"/>
      <c r="AU139" s="110"/>
      <c r="AV139" s="110"/>
      <c r="AW139" s="110"/>
      <c r="AX139" s="110"/>
      <c r="AY139" s="110"/>
      <c r="AZ139" s="110"/>
      <c r="BA139" s="110"/>
      <c r="BB139" s="111"/>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88" t="s">
        <v>51</v>
      </c>
      <c r="V140" s="189"/>
      <c r="W140" s="189"/>
      <c r="X140" s="189"/>
      <c r="Y140" s="189"/>
      <c r="Z140" s="189"/>
      <c r="AA140" s="189"/>
      <c r="AB140" s="189"/>
      <c r="AC140" s="192" t="s">
        <v>52</v>
      </c>
      <c r="AD140" s="193"/>
      <c r="AE140" s="193"/>
      <c r="AF140" s="193"/>
      <c r="AG140" s="193"/>
      <c r="AH140" s="193"/>
      <c r="AI140" s="193"/>
      <c r="AJ140" s="194"/>
      <c r="AK140" s="50"/>
      <c r="AL140" s="50"/>
      <c r="AM140" s="109"/>
      <c r="AN140" s="110"/>
      <c r="AO140" s="110"/>
      <c r="AP140" s="110"/>
      <c r="AQ140" s="110"/>
      <c r="AR140" s="110"/>
      <c r="AS140" s="110"/>
      <c r="AT140" s="110"/>
      <c r="AU140" s="110"/>
      <c r="AV140" s="110"/>
      <c r="AW140" s="110"/>
      <c r="AX140" s="110"/>
      <c r="AY140" s="110"/>
      <c r="AZ140" s="110"/>
      <c r="BA140" s="110"/>
      <c r="BB140" s="111"/>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86" t="s">
        <v>26</v>
      </c>
      <c r="E141" s="181"/>
      <c r="F141" s="181"/>
      <c r="G141" s="181"/>
      <c r="H141" s="181"/>
      <c r="I141" s="181"/>
      <c r="J141" s="181"/>
      <c r="K141" s="181"/>
      <c r="L141" s="181"/>
      <c r="M141" s="182"/>
      <c r="N141" s="97" t="str">
        <f>IF([11]回答表!F17="下水道事業",IF([11]回答表!AA43="○","○",""),"")</f>
        <v/>
      </c>
      <c r="O141" s="98"/>
      <c r="P141" s="98"/>
      <c r="Q141" s="99"/>
      <c r="R141" s="39"/>
      <c r="S141" s="39"/>
      <c r="T141" s="39"/>
      <c r="U141" s="190"/>
      <c r="V141" s="191"/>
      <c r="W141" s="191"/>
      <c r="X141" s="191"/>
      <c r="Y141" s="191"/>
      <c r="Z141" s="191"/>
      <c r="AA141" s="191"/>
      <c r="AB141" s="191"/>
      <c r="AC141" s="195"/>
      <c r="AD141" s="196"/>
      <c r="AE141" s="196"/>
      <c r="AF141" s="196"/>
      <c r="AG141" s="196"/>
      <c r="AH141" s="196"/>
      <c r="AI141" s="196"/>
      <c r="AJ141" s="197"/>
      <c r="AK141" s="50"/>
      <c r="AL141" s="50"/>
      <c r="AM141" s="109"/>
      <c r="AN141" s="110"/>
      <c r="AO141" s="110"/>
      <c r="AP141" s="110"/>
      <c r="AQ141" s="110"/>
      <c r="AR141" s="110"/>
      <c r="AS141" s="110"/>
      <c r="AT141" s="110"/>
      <c r="AU141" s="110"/>
      <c r="AV141" s="110"/>
      <c r="AW141" s="110"/>
      <c r="AX141" s="110"/>
      <c r="AY141" s="110"/>
      <c r="AZ141" s="110"/>
      <c r="BA141" s="110"/>
      <c r="BB141" s="111"/>
      <c r="BC141" s="40"/>
      <c r="BD141" s="54"/>
      <c r="BE141" s="82"/>
      <c r="BF141" s="83"/>
      <c r="BG141" s="83"/>
      <c r="BH141" s="83"/>
      <c r="BI141" s="82"/>
      <c r="BJ141" s="83"/>
      <c r="BK141" s="83"/>
      <c r="BL141" s="83"/>
      <c r="BM141" s="82"/>
      <c r="BN141" s="83"/>
      <c r="BO141" s="83"/>
      <c r="BP141" s="86"/>
      <c r="BQ141" s="38"/>
    </row>
    <row r="142" spans="3:69" ht="15.6" customHeight="1" x14ac:dyDescent="0.4">
      <c r="C142" s="33"/>
      <c r="D142" s="181"/>
      <c r="E142" s="181"/>
      <c r="F142" s="181"/>
      <c r="G142" s="181"/>
      <c r="H142" s="181"/>
      <c r="I142" s="181"/>
      <c r="J142" s="181"/>
      <c r="K142" s="181"/>
      <c r="L142" s="181"/>
      <c r="M142" s="182"/>
      <c r="N142" s="100"/>
      <c r="O142" s="101"/>
      <c r="P142" s="101"/>
      <c r="Q142" s="102"/>
      <c r="R142" s="39"/>
      <c r="S142" s="39"/>
      <c r="T142" s="39"/>
      <c r="U142" s="118" t="str">
        <f>IF([11]回答表!F17="下水道事業",IF([11]回答表!X43="○",[11]回答表!Y186,IF([11]回答表!AA43="○",[11]回答表!Y234,"")),"")</f>
        <v/>
      </c>
      <c r="V142" s="119"/>
      <c r="W142" s="119"/>
      <c r="X142" s="119"/>
      <c r="Y142" s="119"/>
      <c r="Z142" s="119"/>
      <c r="AA142" s="119"/>
      <c r="AB142" s="120"/>
      <c r="AC142" s="118" t="str">
        <f>IF([11]回答表!F17="下水道事業",IF([11]回答表!X43="○",[11]回答表!Y187,IF([11]回答表!AA43="○",[11]回答表!Y235,"")),"")</f>
        <v/>
      </c>
      <c r="AD142" s="119"/>
      <c r="AE142" s="119"/>
      <c r="AF142" s="119"/>
      <c r="AG142" s="119"/>
      <c r="AH142" s="119"/>
      <c r="AI142" s="119"/>
      <c r="AJ142" s="120"/>
      <c r="AK142" s="50"/>
      <c r="AL142" s="50"/>
      <c r="AM142" s="109"/>
      <c r="AN142" s="110"/>
      <c r="AO142" s="110"/>
      <c r="AP142" s="110"/>
      <c r="AQ142" s="110"/>
      <c r="AR142" s="110"/>
      <c r="AS142" s="110"/>
      <c r="AT142" s="110"/>
      <c r="AU142" s="110"/>
      <c r="AV142" s="110"/>
      <c r="AW142" s="110"/>
      <c r="AX142" s="110"/>
      <c r="AY142" s="110"/>
      <c r="AZ142" s="110"/>
      <c r="BA142" s="110"/>
      <c r="BB142" s="111"/>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81"/>
      <c r="E143" s="181"/>
      <c r="F143" s="181"/>
      <c r="G143" s="181"/>
      <c r="H143" s="181"/>
      <c r="I143" s="181"/>
      <c r="J143" s="181"/>
      <c r="K143" s="181"/>
      <c r="L143" s="181"/>
      <c r="M143" s="182"/>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109"/>
      <c r="AN143" s="110"/>
      <c r="AO143" s="110"/>
      <c r="AP143" s="110"/>
      <c r="AQ143" s="110"/>
      <c r="AR143" s="110"/>
      <c r="AS143" s="110"/>
      <c r="AT143" s="110"/>
      <c r="AU143" s="110"/>
      <c r="AV143" s="110"/>
      <c r="AW143" s="110"/>
      <c r="AX143" s="110"/>
      <c r="AY143" s="110"/>
      <c r="AZ143" s="110"/>
      <c r="BA143" s="110"/>
      <c r="BB143" s="111"/>
      <c r="BC143" s="40"/>
      <c r="BD143" s="54"/>
      <c r="BE143" s="82"/>
      <c r="BF143" s="83"/>
      <c r="BG143" s="83"/>
      <c r="BH143" s="83"/>
      <c r="BI143" s="82"/>
      <c r="BJ143" s="83"/>
      <c r="BK143" s="83"/>
      <c r="BL143" s="83"/>
      <c r="BM143" s="82"/>
      <c r="BN143" s="83"/>
      <c r="BO143" s="83"/>
      <c r="BP143" s="86"/>
      <c r="BQ143" s="38"/>
    </row>
    <row r="144" spans="3:69" ht="15.6" customHeight="1" x14ac:dyDescent="0.4">
      <c r="C144" s="33"/>
      <c r="D144" s="181"/>
      <c r="E144" s="181"/>
      <c r="F144" s="181"/>
      <c r="G144" s="181"/>
      <c r="H144" s="181"/>
      <c r="I144" s="181"/>
      <c r="J144" s="181"/>
      <c r="K144" s="181"/>
      <c r="L144" s="181"/>
      <c r="M144" s="182"/>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112"/>
      <c r="AN144" s="113"/>
      <c r="AO144" s="113"/>
      <c r="AP144" s="113"/>
      <c r="AQ144" s="113"/>
      <c r="AR144" s="113"/>
      <c r="AS144" s="113"/>
      <c r="AT144" s="113"/>
      <c r="AU144" s="113"/>
      <c r="AV144" s="113"/>
      <c r="AW144" s="113"/>
      <c r="AX144" s="113"/>
      <c r="AY144" s="113"/>
      <c r="AZ144" s="113"/>
      <c r="BA144" s="113"/>
      <c r="BB144" s="114"/>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81" t="s">
        <v>34</v>
      </c>
      <c r="E147" s="181"/>
      <c r="F147" s="181"/>
      <c r="G147" s="181"/>
      <c r="H147" s="181"/>
      <c r="I147" s="181"/>
      <c r="J147" s="181"/>
      <c r="K147" s="181"/>
      <c r="L147" s="181"/>
      <c r="M147" s="182"/>
      <c r="N147" s="97" t="str">
        <f>IF([11]回答表!F17="下水道事業",IF([11]回答表!AD43="○","○",""),"")</f>
        <v/>
      </c>
      <c r="O147" s="98"/>
      <c r="P147" s="98"/>
      <c r="Q147" s="99"/>
      <c r="R147" s="39"/>
      <c r="S147" s="39"/>
      <c r="T147" s="39"/>
      <c r="U147" s="106" t="str">
        <f>IF([11]回答表!F17="下水道事業",IF([11]回答表!AD43="○",[11]回答表!B249,""),"")</f>
        <v/>
      </c>
      <c r="V147" s="107"/>
      <c r="W147" s="107"/>
      <c r="X147" s="107"/>
      <c r="Y147" s="107"/>
      <c r="Z147" s="107"/>
      <c r="AA147" s="107"/>
      <c r="AB147" s="107"/>
      <c r="AC147" s="107"/>
      <c r="AD147" s="107"/>
      <c r="AE147" s="107"/>
      <c r="AF147" s="107"/>
      <c r="AG147" s="107"/>
      <c r="AH147" s="107"/>
      <c r="AI147" s="107"/>
      <c r="AJ147" s="108"/>
      <c r="AK147" s="56"/>
      <c r="AL147" s="56"/>
      <c r="AM147" s="106" t="str">
        <f>IF([11]回答表!F17="下水道事業",IF([11]回答表!AD43="○",[11]回答表!B255,""),"")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81"/>
      <c r="E148" s="181"/>
      <c r="F148" s="181"/>
      <c r="G148" s="181"/>
      <c r="H148" s="181"/>
      <c r="I148" s="181"/>
      <c r="J148" s="181"/>
      <c r="K148" s="181"/>
      <c r="L148" s="181"/>
      <c r="M148" s="182"/>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81"/>
      <c r="E149" s="181"/>
      <c r="F149" s="181"/>
      <c r="G149" s="181"/>
      <c r="H149" s="181"/>
      <c r="I149" s="181"/>
      <c r="J149" s="181"/>
      <c r="K149" s="181"/>
      <c r="L149" s="181"/>
      <c r="M149" s="182"/>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81"/>
      <c r="E150" s="181"/>
      <c r="F150" s="181"/>
      <c r="G150" s="181"/>
      <c r="H150" s="181"/>
      <c r="I150" s="181"/>
      <c r="J150" s="181"/>
      <c r="K150" s="181"/>
      <c r="L150" s="181"/>
      <c r="M150" s="182"/>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62"/>
      <c r="AS153" s="162"/>
      <c r="AT153" s="162"/>
      <c r="AU153" s="162"/>
      <c r="AV153" s="162"/>
      <c r="AW153" s="162"/>
      <c r="AX153" s="162"/>
      <c r="AY153" s="162"/>
      <c r="AZ153" s="162"/>
      <c r="BA153" s="162"/>
      <c r="BB153" s="162"/>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87"/>
      <c r="AS154" s="187"/>
      <c r="AT154" s="187"/>
      <c r="AU154" s="187"/>
      <c r="AV154" s="187"/>
      <c r="AW154" s="187"/>
      <c r="AX154" s="187"/>
      <c r="AY154" s="187"/>
      <c r="AZ154" s="187"/>
      <c r="BA154" s="187"/>
      <c r="BB154" s="187"/>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81" t="s">
        <v>18</v>
      </c>
      <c r="E159" s="181"/>
      <c r="F159" s="181"/>
      <c r="G159" s="181"/>
      <c r="H159" s="181"/>
      <c r="I159" s="181"/>
      <c r="J159" s="181"/>
      <c r="K159" s="181"/>
      <c r="L159" s="181"/>
      <c r="M159" s="181"/>
      <c r="N159" s="97" t="str">
        <f>IF([11]回答表!BD17="○",IF([11]回答表!X43="○","○",""),"")</f>
        <v/>
      </c>
      <c r="O159" s="98"/>
      <c r="P159" s="98"/>
      <c r="Q159" s="99"/>
      <c r="R159" s="39"/>
      <c r="S159" s="39"/>
      <c r="T159" s="39"/>
      <c r="U159" s="106" t="str">
        <f>IF([11]回答表!BD17="○",IF([11]回答表!X43="○",[11]回答表!B154,IF([11]回答表!AA43="○",[11]回答表!B201,"")),"")</f>
        <v/>
      </c>
      <c r="V159" s="107"/>
      <c r="W159" s="107"/>
      <c r="X159" s="107"/>
      <c r="Y159" s="107"/>
      <c r="Z159" s="107"/>
      <c r="AA159" s="107"/>
      <c r="AB159" s="107"/>
      <c r="AC159" s="107"/>
      <c r="AD159" s="107"/>
      <c r="AE159" s="107"/>
      <c r="AF159" s="107"/>
      <c r="AG159" s="107"/>
      <c r="AH159" s="107"/>
      <c r="AI159" s="107"/>
      <c r="AJ159" s="108"/>
      <c r="AK159" s="50"/>
      <c r="AL159" s="50"/>
      <c r="AM159" s="115" t="str">
        <f>IF([11]回答表!BD17="○",IF([11]回答表!X43="○",[11]回答表!B190,IF([11]回答表!AA43="○",[11]回答表!B238,"")),"")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81"/>
      <c r="E160" s="181"/>
      <c r="F160" s="181"/>
      <c r="G160" s="181"/>
      <c r="H160" s="181"/>
      <c r="I160" s="181"/>
      <c r="J160" s="181"/>
      <c r="K160" s="181"/>
      <c r="L160" s="181"/>
      <c r="M160" s="181"/>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81"/>
      <c r="E161" s="181"/>
      <c r="F161" s="181"/>
      <c r="G161" s="181"/>
      <c r="H161" s="181"/>
      <c r="I161" s="181"/>
      <c r="J161" s="181"/>
      <c r="K161" s="181"/>
      <c r="L161" s="181"/>
      <c r="M161" s="181"/>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81"/>
      <c r="E162" s="181"/>
      <c r="F162" s="181"/>
      <c r="G162" s="181"/>
      <c r="H162" s="181"/>
      <c r="I162" s="181"/>
      <c r="J162" s="181"/>
      <c r="K162" s="181"/>
      <c r="L162" s="181"/>
      <c r="M162" s="181"/>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IF([11]回答表!BD17="○",IF([11]回答表!X43="○",[11]回答表!E190,IF([11]回答表!AA43="○",[11]回答表!E238,"")),"")</f>
        <v/>
      </c>
      <c r="AN162" s="83"/>
      <c r="AO162" s="83"/>
      <c r="AP162" s="83"/>
      <c r="AQ162" s="82" t="str">
        <f>IF([11]回答表!BD17="○",IF([11]回答表!X43="○",[11]回答表!E191,IF([11]回答表!AA43="○",[11]回答表!E239,"")),"")</f>
        <v/>
      </c>
      <c r="AR162" s="83"/>
      <c r="AS162" s="83"/>
      <c r="AT162" s="83"/>
      <c r="AU162" s="82" t="str">
        <f>IF([11]回答表!BD17="○",IF([11]回答表!X43="○",[11]回答表!E192,IF([11]回答表!AA43="○",[11]回答表!E240,"")),"")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86" t="s">
        <v>26</v>
      </c>
      <c r="E165" s="181"/>
      <c r="F165" s="181"/>
      <c r="G165" s="181"/>
      <c r="H165" s="181"/>
      <c r="I165" s="181"/>
      <c r="J165" s="181"/>
      <c r="K165" s="181"/>
      <c r="L165" s="181"/>
      <c r="M165" s="182"/>
      <c r="N165" s="97" t="str">
        <f>IF([11]回答表!BD17="○",IF([11]回答表!AA43="○","○",""),"")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81"/>
      <c r="E166" s="181"/>
      <c r="F166" s="181"/>
      <c r="G166" s="181"/>
      <c r="H166" s="181"/>
      <c r="I166" s="181"/>
      <c r="J166" s="181"/>
      <c r="K166" s="181"/>
      <c r="L166" s="181"/>
      <c r="M166" s="182"/>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81"/>
      <c r="E167" s="181"/>
      <c r="F167" s="181"/>
      <c r="G167" s="181"/>
      <c r="H167" s="181"/>
      <c r="I167" s="181"/>
      <c r="J167" s="181"/>
      <c r="K167" s="181"/>
      <c r="L167" s="181"/>
      <c r="M167" s="182"/>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81"/>
      <c r="E168" s="181"/>
      <c r="F168" s="181"/>
      <c r="G168" s="181"/>
      <c r="H168" s="181"/>
      <c r="I168" s="181"/>
      <c r="J168" s="181"/>
      <c r="K168" s="181"/>
      <c r="L168" s="181"/>
      <c r="M168" s="182"/>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81" t="s">
        <v>34</v>
      </c>
      <c r="E171" s="181"/>
      <c r="F171" s="181"/>
      <c r="G171" s="181"/>
      <c r="H171" s="181"/>
      <c r="I171" s="181"/>
      <c r="J171" s="181"/>
      <c r="K171" s="181"/>
      <c r="L171" s="181"/>
      <c r="M171" s="182"/>
      <c r="N171" s="97" t="str">
        <f>IF([11]回答表!BD17="○",IF([11]回答表!AD43="○","○",""),"")</f>
        <v/>
      </c>
      <c r="O171" s="98"/>
      <c r="P171" s="98"/>
      <c r="Q171" s="99"/>
      <c r="R171" s="39"/>
      <c r="S171" s="39"/>
      <c r="T171" s="39"/>
      <c r="U171" s="106" t="str">
        <f>IF([11]回答表!BD17="○",IF([11]回答表!AD43="○",[11]回答表!B249,""),"")</f>
        <v/>
      </c>
      <c r="V171" s="107"/>
      <c r="W171" s="107"/>
      <c r="X171" s="107"/>
      <c r="Y171" s="107"/>
      <c r="Z171" s="107"/>
      <c r="AA171" s="107"/>
      <c r="AB171" s="107"/>
      <c r="AC171" s="107"/>
      <c r="AD171" s="107"/>
      <c r="AE171" s="107"/>
      <c r="AF171" s="107"/>
      <c r="AG171" s="107"/>
      <c r="AH171" s="107"/>
      <c r="AI171" s="107"/>
      <c r="AJ171" s="108"/>
      <c r="AK171" s="56"/>
      <c r="AL171" s="56"/>
      <c r="AM171" s="106" t="str">
        <f>IF([11]回答表!BD17="○",IF([11]回答表!AD43="○",[11]回答表!B255,""),"")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81"/>
      <c r="E172" s="181"/>
      <c r="F172" s="181"/>
      <c r="G172" s="181"/>
      <c r="H172" s="181"/>
      <c r="I172" s="181"/>
      <c r="J172" s="181"/>
      <c r="K172" s="181"/>
      <c r="L172" s="181"/>
      <c r="M172" s="182"/>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81"/>
      <c r="E173" s="181"/>
      <c r="F173" s="181"/>
      <c r="G173" s="181"/>
      <c r="H173" s="181"/>
      <c r="I173" s="181"/>
      <c r="J173" s="181"/>
      <c r="K173" s="181"/>
      <c r="L173" s="181"/>
      <c r="M173" s="182"/>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81"/>
      <c r="E174" s="181"/>
      <c r="F174" s="181"/>
      <c r="G174" s="181"/>
      <c r="H174" s="181"/>
      <c r="I174" s="181"/>
      <c r="J174" s="181"/>
      <c r="K174" s="181"/>
      <c r="L174" s="181"/>
      <c r="M174" s="182"/>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62"/>
      <c r="AS177" s="162"/>
      <c r="AT177" s="162"/>
      <c r="AU177" s="162"/>
      <c r="AV177" s="162"/>
      <c r="AW177" s="162"/>
      <c r="AX177" s="162"/>
      <c r="AY177" s="162"/>
      <c r="AZ177" s="162"/>
      <c r="BA177" s="162"/>
      <c r="BB177" s="162"/>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87"/>
      <c r="AS178" s="187"/>
      <c r="AT178" s="187"/>
      <c r="AU178" s="187"/>
      <c r="AV178" s="187"/>
      <c r="AW178" s="187"/>
      <c r="AX178" s="187"/>
      <c r="AY178" s="187"/>
      <c r="AZ178" s="187"/>
      <c r="BA178" s="187"/>
      <c r="BB178" s="187"/>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81" t="s">
        <v>18</v>
      </c>
      <c r="E183" s="181"/>
      <c r="F183" s="181"/>
      <c r="G183" s="181"/>
      <c r="H183" s="181"/>
      <c r="I183" s="181"/>
      <c r="J183" s="181"/>
      <c r="K183" s="181"/>
      <c r="L183" s="181"/>
      <c r="M183" s="181"/>
      <c r="N183" s="97" t="str">
        <f>IF([11]回答表!X44="○","○","")</f>
        <v/>
      </c>
      <c r="O183" s="98"/>
      <c r="P183" s="98"/>
      <c r="Q183" s="99"/>
      <c r="R183" s="39"/>
      <c r="S183" s="39"/>
      <c r="T183" s="39"/>
      <c r="U183" s="106" t="str">
        <f>IF([11]回答表!X44="○",[11]回答表!B266,IF([11]回答表!AA44="○",[11]回答表!B283,""))</f>
        <v/>
      </c>
      <c r="V183" s="107"/>
      <c r="W183" s="107"/>
      <c r="X183" s="107"/>
      <c r="Y183" s="107"/>
      <c r="Z183" s="107"/>
      <c r="AA183" s="107"/>
      <c r="AB183" s="107"/>
      <c r="AC183" s="107"/>
      <c r="AD183" s="107"/>
      <c r="AE183" s="107"/>
      <c r="AF183" s="107"/>
      <c r="AG183" s="107"/>
      <c r="AH183" s="107"/>
      <c r="AI183" s="107"/>
      <c r="AJ183" s="108"/>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IF([11]回答表!X44="○",[11]回答表!U272,IF([11]回答表!AA44="○",[11]回答表!U289,""))</f>
        <v/>
      </c>
      <c r="BF183" s="116"/>
      <c r="BG183" s="116"/>
      <c r="BH183" s="116"/>
      <c r="BI183" s="115"/>
      <c r="BJ183" s="116"/>
      <c r="BK183" s="116"/>
      <c r="BL183" s="116"/>
      <c r="BM183" s="115"/>
      <c r="BN183" s="116"/>
      <c r="BO183" s="116"/>
      <c r="BP183" s="117"/>
      <c r="BQ183" s="38"/>
      <c r="BR183" s="25"/>
    </row>
    <row r="184" spans="3:70" ht="15.6" customHeight="1" x14ac:dyDescent="0.4">
      <c r="C184" s="33"/>
      <c r="D184" s="181"/>
      <c r="E184" s="181"/>
      <c r="F184" s="181"/>
      <c r="G184" s="181"/>
      <c r="H184" s="181"/>
      <c r="I184" s="181"/>
      <c r="J184" s="181"/>
      <c r="K184" s="181"/>
      <c r="L184" s="181"/>
      <c r="M184" s="181"/>
      <c r="N184" s="100"/>
      <c r="O184" s="101"/>
      <c r="P184" s="101"/>
      <c r="Q184" s="102"/>
      <c r="R184" s="39"/>
      <c r="S184" s="39"/>
      <c r="T184" s="39"/>
      <c r="U184" s="109"/>
      <c r="V184" s="110"/>
      <c r="W184" s="110"/>
      <c r="X184" s="110"/>
      <c r="Y184" s="110"/>
      <c r="Z184" s="110"/>
      <c r="AA184" s="110"/>
      <c r="AB184" s="110"/>
      <c r="AC184" s="110"/>
      <c r="AD184" s="110"/>
      <c r="AE184" s="110"/>
      <c r="AF184" s="110"/>
      <c r="AG184" s="110"/>
      <c r="AH184" s="110"/>
      <c r="AI184" s="110"/>
      <c r="AJ184" s="111"/>
      <c r="AK184" s="50"/>
      <c r="AL184" s="50"/>
      <c r="AM184" s="183"/>
      <c r="AN184" s="184"/>
      <c r="AO184" s="184"/>
      <c r="AP184" s="184"/>
      <c r="AQ184" s="184"/>
      <c r="AR184" s="184"/>
      <c r="AS184" s="184"/>
      <c r="AT184" s="185"/>
      <c r="AU184" s="183"/>
      <c r="AV184" s="184"/>
      <c r="AW184" s="184"/>
      <c r="AX184" s="184"/>
      <c r="AY184" s="184"/>
      <c r="AZ184" s="184"/>
      <c r="BA184" s="184"/>
      <c r="BB184" s="185"/>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81"/>
      <c r="E185" s="181"/>
      <c r="F185" s="181"/>
      <c r="G185" s="181"/>
      <c r="H185" s="181"/>
      <c r="I185" s="181"/>
      <c r="J185" s="181"/>
      <c r="K185" s="181"/>
      <c r="L185" s="181"/>
      <c r="M185" s="181"/>
      <c r="N185" s="100"/>
      <c r="O185" s="101"/>
      <c r="P185" s="101"/>
      <c r="Q185" s="102"/>
      <c r="R185" s="39"/>
      <c r="S185" s="39"/>
      <c r="T185" s="39"/>
      <c r="U185" s="109"/>
      <c r="V185" s="110"/>
      <c r="W185" s="110"/>
      <c r="X185" s="110"/>
      <c r="Y185" s="110"/>
      <c r="Z185" s="110"/>
      <c r="AA185" s="110"/>
      <c r="AB185" s="110"/>
      <c r="AC185" s="110"/>
      <c r="AD185" s="110"/>
      <c r="AE185" s="110"/>
      <c r="AF185" s="110"/>
      <c r="AG185" s="110"/>
      <c r="AH185" s="110"/>
      <c r="AI185" s="110"/>
      <c r="AJ185" s="111"/>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81"/>
      <c r="E186" s="181"/>
      <c r="F186" s="181"/>
      <c r="G186" s="181"/>
      <c r="H186" s="181"/>
      <c r="I186" s="181"/>
      <c r="J186" s="181"/>
      <c r="K186" s="181"/>
      <c r="L186" s="181"/>
      <c r="M186" s="181"/>
      <c r="N186" s="103"/>
      <c r="O186" s="104"/>
      <c r="P186" s="104"/>
      <c r="Q186" s="105"/>
      <c r="R186" s="39"/>
      <c r="S186" s="39"/>
      <c r="T186" s="39"/>
      <c r="U186" s="109"/>
      <c r="V186" s="110"/>
      <c r="W186" s="110"/>
      <c r="X186" s="110"/>
      <c r="Y186" s="110"/>
      <c r="Z186" s="110"/>
      <c r="AA186" s="110"/>
      <c r="AB186" s="110"/>
      <c r="AC186" s="110"/>
      <c r="AD186" s="110"/>
      <c r="AE186" s="110"/>
      <c r="AF186" s="110"/>
      <c r="AG186" s="110"/>
      <c r="AH186" s="110"/>
      <c r="AI186" s="110"/>
      <c r="AJ186" s="111"/>
      <c r="AK186" s="50"/>
      <c r="AL186" s="50"/>
      <c r="AM186" s="118" t="str">
        <f>IF([11]回答表!X44="○",[11]回答表!G272,IF([11]回答表!AA44="○",[11]回答表!G289,""))</f>
        <v/>
      </c>
      <c r="AN186" s="119"/>
      <c r="AO186" s="119"/>
      <c r="AP186" s="119"/>
      <c r="AQ186" s="119"/>
      <c r="AR186" s="119"/>
      <c r="AS186" s="119"/>
      <c r="AT186" s="120"/>
      <c r="AU186" s="118" t="str">
        <f>IF([11]回答表!X44="○",[11]回答表!G273,IF([11]回答表!AA44="○",[11]回答表!G290,""))</f>
        <v/>
      </c>
      <c r="AV186" s="119"/>
      <c r="AW186" s="119"/>
      <c r="AX186" s="119"/>
      <c r="AY186" s="119"/>
      <c r="AZ186" s="119"/>
      <c r="BA186" s="119"/>
      <c r="BB186" s="120"/>
      <c r="BC186" s="40"/>
      <c r="BD186" s="35"/>
      <c r="BE186" s="82" t="str">
        <f>IF([11]回答表!X44="○",[11]回答表!X272,IF([11]回答表!AA44="○",[11]回答表!X289,""))</f>
        <v/>
      </c>
      <c r="BF186" s="83"/>
      <c r="BG186" s="83"/>
      <c r="BH186" s="83"/>
      <c r="BI186" s="82" t="str">
        <f>IF([11]回答表!X44="○",[11]回答表!X273,IF([11]回答表!AA44="○",[11]回答表!X290,""))</f>
        <v/>
      </c>
      <c r="BJ186" s="83"/>
      <c r="BK186" s="83"/>
      <c r="BL186" s="86"/>
      <c r="BM186" s="82" t="str">
        <f>IF([11]回答表!X44="○",[11]回答表!X274,IF([11]回答表!AA44="○",[11]回答表!X291,""))</f>
        <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09"/>
      <c r="V187" s="110"/>
      <c r="W187" s="110"/>
      <c r="X187" s="110"/>
      <c r="Y187" s="110"/>
      <c r="Z187" s="110"/>
      <c r="AA187" s="110"/>
      <c r="AB187" s="110"/>
      <c r="AC187" s="110"/>
      <c r="AD187" s="110"/>
      <c r="AE187" s="110"/>
      <c r="AF187" s="110"/>
      <c r="AG187" s="110"/>
      <c r="AH187" s="110"/>
      <c r="AI187" s="110"/>
      <c r="AJ187" s="111"/>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09"/>
      <c r="V188" s="110"/>
      <c r="W188" s="110"/>
      <c r="X188" s="110"/>
      <c r="Y188" s="110"/>
      <c r="Z188" s="110"/>
      <c r="AA188" s="110"/>
      <c r="AB188" s="110"/>
      <c r="AC188" s="110"/>
      <c r="AD188" s="110"/>
      <c r="AE188" s="110"/>
      <c r="AF188" s="110"/>
      <c r="AG188" s="110"/>
      <c r="AH188" s="110"/>
      <c r="AI188" s="110"/>
      <c r="AJ188" s="111"/>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86" t="s">
        <v>26</v>
      </c>
      <c r="E189" s="181"/>
      <c r="F189" s="181"/>
      <c r="G189" s="181"/>
      <c r="H189" s="181"/>
      <c r="I189" s="181"/>
      <c r="J189" s="181"/>
      <c r="K189" s="181"/>
      <c r="L189" s="181"/>
      <c r="M189" s="182"/>
      <c r="N189" s="97" t="str">
        <f>IF([11]回答表!AA44="○","○","")</f>
        <v/>
      </c>
      <c r="O189" s="98"/>
      <c r="P189" s="98"/>
      <c r="Q189" s="99"/>
      <c r="R189" s="39"/>
      <c r="S189" s="39"/>
      <c r="T189" s="39"/>
      <c r="U189" s="109"/>
      <c r="V189" s="110"/>
      <c r="W189" s="110"/>
      <c r="X189" s="110"/>
      <c r="Y189" s="110"/>
      <c r="Z189" s="110"/>
      <c r="AA189" s="110"/>
      <c r="AB189" s="110"/>
      <c r="AC189" s="110"/>
      <c r="AD189" s="110"/>
      <c r="AE189" s="110"/>
      <c r="AF189" s="110"/>
      <c r="AG189" s="110"/>
      <c r="AH189" s="110"/>
      <c r="AI189" s="110"/>
      <c r="AJ189" s="111"/>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81"/>
      <c r="E190" s="181"/>
      <c r="F190" s="181"/>
      <c r="G190" s="181"/>
      <c r="H190" s="181"/>
      <c r="I190" s="181"/>
      <c r="J190" s="181"/>
      <c r="K190" s="181"/>
      <c r="L190" s="181"/>
      <c r="M190" s="182"/>
      <c r="N190" s="100"/>
      <c r="O190" s="101"/>
      <c r="P190" s="101"/>
      <c r="Q190" s="102"/>
      <c r="R190" s="39"/>
      <c r="S190" s="39"/>
      <c r="T190" s="39"/>
      <c r="U190" s="109"/>
      <c r="V190" s="110"/>
      <c r="W190" s="110"/>
      <c r="X190" s="110"/>
      <c r="Y190" s="110"/>
      <c r="Z190" s="110"/>
      <c r="AA190" s="110"/>
      <c r="AB190" s="110"/>
      <c r="AC190" s="110"/>
      <c r="AD190" s="110"/>
      <c r="AE190" s="110"/>
      <c r="AF190" s="110"/>
      <c r="AG190" s="110"/>
      <c r="AH190" s="110"/>
      <c r="AI190" s="110"/>
      <c r="AJ190" s="111"/>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81"/>
      <c r="E191" s="181"/>
      <c r="F191" s="181"/>
      <c r="G191" s="181"/>
      <c r="H191" s="181"/>
      <c r="I191" s="181"/>
      <c r="J191" s="181"/>
      <c r="K191" s="181"/>
      <c r="L191" s="181"/>
      <c r="M191" s="182"/>
      <c r="N191" s="100"/>
      <c r="O191" s="101"/>
      <c r="P191" s="101"/>
      <c r="Q191" s="102"/>
      <c r="R191" s="39"/>
      <c r="S191" s="39"/>
      <c r="T191" s="39"/>
      <c r="U191" s="109"/>
      <c r="V191" s="110"/>
      <c r="W191" s="110"/>
      <c r="X191" s="110"/>
      <c r="Y191" s="110"/>
      <c r="Z191" s="110"/>
      <c r="AA191" s="110"/>
      <c r="AB191" s="110"/>
      <c r="AC191" s="110"/>
      <c r="AD191" s="110"/>
      <c r="AE191" s="110"/>
      <c r="AF191" s="110"/>
      <c r="AG191" s="110"/>
      <c r="AH191" s="110"/>
      <c r="AI191" s="110"/>
      <c r="AJ191" s="111"/>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81"/>
      <c r="E192" s="181"/>
      <c r="F192" s="181"/>
      <c r="G192" s="181"/>
      <c r="H192" s="181"/>
      <c r="I192" s="181"/>
      <c r="J192" s="181"/>
      <c r="K192" s="181"/>
      <c r="L192" s="181"/>
      <c r="M192" s="182"/>
      <c r="N192" s="103"/>
      <c r="O192" s="104"/>
      <c r="P192" s="104"/>
      <c r="Q192" s="105"/>
      <c r="R192" s="39"/>
      <c r="S192" s="39"/>
      <c r="T192" s="39"/>
      <c r="U192" s="112"/>
      <c r="V192" s="113"/>
      <c r="W192" s="113"/>
      <c r="X192" s="113"/>
      <c r="Y192" s="113"/>
      <c r="Z192" s="113"/>
      <c r="AA192" s="113"/>
      <c r="AB192" s="113"/>
      <c r="AC192" s="113"/>
      <c r="AD192" s="113"/>
      <c r="AE192" s="113"/>
      <c r="AF192" s="113"/>
      <c r="AG192" s="113"/>
      <c r="AH192" s="113"/>
      <c r="AI192" s="113"/>
      <c r="AJ192" s="114"/>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81" t="s">
        <v>34</v>
      </c>
      <c r="E195" s="181"/>
      <c r="F195" s="181"/>
      <c r="G195" s="181"/>
      <c r="H195" s="181"/>
      <c r="I195" s="181"/>
      <c r="J195" s="181"/>
      <c r="K195" s="181"/>
      <c r="L195" s="181"/>
      <c r="M195" s="182"/>
      <c r="N195" s="97" t="str">
        <f>IF([11]回答表!AD44="○","○","")</f>
        <v/>
      </c>
      <c r="O195" s="98"/>
      <c r="P195" s="98"/>
      <c r="Q195" s="99"/>
      <c r="R195" s="39"/>
      <c r="S195" s="39"/>
      <c r="T195" s="39"/>
      <c r="U195" s="106" t="str">
        <f>IF([11]回答表!AD44="○",[11]回答表!B296,"")</f>
        <v/>
      </c>
      <c r="V195" s="107"/>
      <c r="W195" s="107"/>
      <c r="X195" s="107"/>
      <c r="Y195" s="107"/>
      <c r="Z195" s="107"/>
      <c r="AA195" s="107"/>
      <c r="AB195" s="107"/>
      <c r="AC195" s="107"/>
      <c r="AD195" s="107"/>
      <c r="AE195" s="107"/>
      <c r="AF195" s="107"/>
      <c r="AG195" s="107"/>
      <c r="AH195" s="107"/>
      <c r="AI195" s="107"/>
      <c r="AJ195" s="108"/>
      <c r="AK195" s="61"/>
      <c r="AL195" s="61"/>
      <c r="AM195" s="106" t="str">
        <f>IF([11]回答表!AD44="○",[11]回答表!B302,"")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81"/>
      <c r="E196" s="181"/>
      <c r="F196" s="181"/>
      <c r="G196" s="181"/>
      <c r="H196" s="181"/>
      <c r="I196" s="181"/>
      <c r="J196" s="181"/>
      <c r="K196" s="181"/>
      <c r="L196" s="181"/>
      <c r="M196" s="182"/>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81"/>
      <c r="E197" s="181"/>
      <c r="F197" s="181"/>
      <c r="G197" s="181"/>
      <c r="H197" s="181"/>
      <c r="I197" s="181"/>
      <c r="J197" s="181"/>
      <c r="K197" s="181"/>
      <c r="L197" s="181"/>
      <c r="M197" s="182"/>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81"/>
      <c r="E198" s="181"/>
      <c r="F198" s="181"/>
      <c r="G198" s="181"/>
      <c r="H198" s="181"/>
      <c r="I198" s="181"/>
      <c r="J198" s="181"/>
      <c r="K198" s="181"/>
      <c r="L198" s="181"/>
      <c r="M198" s="182"/>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62"/>
      <c r="AS201" s="162"/>
      <c r="AT201" s="162"/>
      <c r="AU201" s="162"/>
      <c r="AV201" s="162"/>
      <c r="AW201" s="162"/>
      <c r="AX201" s="162"/>
      <c r="AY201" s="162"/>
      <c r="AZ201" s="162"/>
      <c r="BA201" s="162"/>
      <c r="BB201" s="162"/>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63"/>
      <c r="AS202" s="163"/>
      <c r="AT202" s="163"/>
      <c r="AU202" s="163"/>
      <c r="AV202" s="163"/>
      <c r="AW202" s="163"/>
      <c r="AX202" s="163"/>
      <c r="AY202" s="163"/>
      <c r="AZ202" s="163"/>
      <c r="BA202" s="163"/>
      <c r="BB202" s="163"/>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IF([11]回答表!X45="○","○","")</f>
        <v/>
      </c>
      <c r="O207" s="98"/>
      <c r="P207" s="98"/>
      <c r="Q207" s="99"/>
      <c r="R207" s="39"/>
      <c r="S207" s="39"/>
      <c r="T207" s="39"/>
      <c r="U207" s="106" t="str">
        <f>IF([11]回答表!X45="○",[11]回答表!B314,IF([11]回答表!AA45="○",[11]回答表!B337,""))</f>
        <v/>
      </c>
      <c r="V207" s="107"/>
      <c r="W207" s="107"/>
      <c r="X207" s="107"/>
      <c r="Y207" s="107"/>
      <c r="Z207" s="107"/>
      <c r="AA207" s="107"/>
      <c r="AB207" s="107"/>
      <c r="AC207" s="107"/>
      <c r="AD207" s="107"/>
      <c r="AE207" s="107"/>
      <c r="AF207" s="107"/>
      <c r="AG207" s="107"/>
      <c r="AH207" s="107"/>
      <c r="AI207" s="107"/>
      <c r="AJ207" s="108"/>
      <c r="AK207" s="50"/>
      <c r="AL207" s="50"/>
      <c r="AM207" s="50"/>
      <c r="AN207" s="106" t="str">
        <f>IF([11]回答表!X45="○",[11]回答表!B320,"")</f>
        <v/>
      </c>
      <c r="AO207" s="173"/>
      <c r="AP207" s="173"/>
      <c r="AQ207" s="173"/>
      <c r="AR207" s="173"/>
      <c r="AS207" s="173"/>
      <c r="AT207" s="173"/>
      <c r="AU207" s="173"/>
      <c r="AV207" s="173"/>
      <c r="AW207" s="173"/>
      <c r="AX207" s="173"/>
      <c r="AY207" s="173"/>
      <c r="AZ207" s="173"/>
      <c r="BA207" s="173"/>
      <c r="BB207" s="174"/>
      <c r="BC207" s="40"/>
      <c r="BD207" s="35"/>
      <c r="BE207" s="115" t="str">
        <f>IF([11]回答表!X45="○",[11]回答表!B326,IF([11]回答表!AA45="○",[11]回答表!B343,""))</f>
        <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75"/>
      <c r="AO208" s="176"/>
      <c r="AP208" s="176"/>
      <c r="AQ208" s="176"/>
      <c r="AR208" s="176"/>
      <c r="AS208" s="176"/>
      <c r="AT208" s="176"/>
      <c r="AU208" s="176"/>
      <c r="AV208" s="176"/>
      <c r="AW208" s="176"/>
      <c r="AX208" s="176"/>
      <c r="AY208" s="176"/>
      <c r="AZ208" s="176"/>
      <c r="BA208" s="176"/>
      <c r="BB208" s="177"/>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75"/>
      <c r="AO209" s="176"/>
      <c r="AP209" s="176"/>
      <c r="AQ209" s="176"/>
      <c r="AR209" s="176"/>
      <c r="AS209" s="176"/>
      <c r="AT209" s="176"/>
      <c r="AU209" s="176"/>
      <c r="AV209" s="176"/>
      <c r="AW209" s="176"/>
      <c r="AX209" s="176"/>
      <c r="AY209" s="176"/>
      <c r="AZ209" s="176"/>
      <c r="BA209" s="176"/>
      <c r="BB209" s="177"/>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75"/>
      <c r="AO210" s="176"/>
      <c r="AP210" s="176"/>
      <c r="AQ210" s="176"/>
      <c r="AR210" s="176"/>
      <c r="AS210" s="176"/>
      <c r="AT210" s="176"/>
      <c r="AU210" s="176"/>
      <c r="AV210" s="176"/>
      <c r="AW210" s="176"/>
      <c r="AX210" s="176"/>
      <c r="AY210" s="176"/>
      <c r="AZ210" s="176"/>
      <c r="BA210" s="176"/>
      <c r="BB210" s="177"/>
      <c r="BC210" s="40"/>
      <c r="BD210" s="35"/>
      <c r="BE210" s="82" t="str">
        <f>IF([11]回答表!X45="○",[11]回答表!E326,IF([11]回答表!AA45="○",[11]回答表!E343,""))</f>
        <v/>
      </c>
      <c r="BF210" s="83"/>
      <c r="BG210" s="83"/>
      <c r="BH210" s="83"/>
      <c r="BI210" s="82" t="str">
        <f>IF([11]回答表!X45="○",[11]回答表!E327,IF([11]回答表!AA45="○",[11]回答表!E344,""))</f>
        <v/>
      </c>
      <c r="BJ210" s="83"/>
      <c r="BK210" s="83"/>
      <c r="BL210" s="86"/>
      <c r="BM210" s="82" t="str">
        <f>IF([11]回答表!X45="○",[11]回答表!E328,IF([11]回答表!AA45="○",[11]回答表!E345,""))</f>
        <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75"/>
      <c r="AO211" s="176"/>
      <c r="AP211" s="176"/>
      <c r="AQ211" s="176"/>
      <c r="AR211" s="176"/>
      <c r="AS211" s="176"/>
      <c r="AT211" s="176"/>
      <c r="AU211" s="176"/>
      <c r="AV211" s="176"/>
      <c r="AW211" s="176"/>
      <c r="AX211" s="176"/>
      <c r="AY211" s="176"/>
      <c r="AZ211" s="176"/>
      <c r="BA211" s="176"/>
      <c r="BB211" s="177"/>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75"/>
      <c r="AO212" s="176"/>
      <c r="AP212" s="176"/>
      <c r="AQ212" s="176"/>
      <c r="AR212" s="176"/>
      <c r="AS212" s="176"/>
      <c r="AT212" s="176"/>
      <c r="AU212" s="176"/>
      <c r="AV212" s="176"/>
      <c r="AW212" s="176"/>
      <c r="AX212" s="176"/>
      <c r="AY212" s="176"/>
      <c r="AZ212" s="176"/>
      <c r="BA212" s="176"/>
      <c r="BB212" s="177"/>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IF([11]回答表!AA45="○","○","")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75"/>
      <c r="AO213" s="176"/>
      <c r="AP213" s="176"/>
      <c r="AQ213" s="176"/>
      <c r="AR213" s="176"/>
      <c r="AS213" s="176"/>
      <c r="AT213" s="176"/>
      <c r="AU213" s="176"/>
      <c r="AV213" s="176"/>
      <c r="AW213" s="176"/>
      <c r="AX213" s="176"/>
      <c r="AY213" s="176"/>
      <c r="AZ213" s="176"/>
      <c r="BA213" s="176"/>
      <c r="BB213" s="177"/>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75"/>
      <c r="AO214" s="176"/>
      <c r="AP214" s="176"/>
      <c r="AQ214" s="176"/>
      <c r="AR214" s="176"/>
      <c r="AS214" s="176"/>
      <c r="AT214" s="176"/>
      <c r="AU214" s="176"/>
      <c r="AV214" s="176"/>
      <c r="AW214" s="176"/>
      <c r="AX214" s="176"/>
      <c r="AY214" s="176"/>
      <c r="AZ214" s="176"/>
      <c r="BA214" s="176"/>
      <c r="BB214" s="177"/>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75"/>
      <c r="AO215" s="176"/>
      <c r="AP215" s="176"/>
      <c r="AQ215" s="176"/>
      <c r="AR215" s="176"/>
      <c r="AS215" s="176"/>
      <c r="AT215" s="176"/>
      <c r="AU215" s="176"/>
      <c r="AV215" s="176"/>
      <c r="AW215" s="176"/>
      <c r="AX215" s="176"/>
      <c r="AY215" s="176"/>
      <c r="AZ215" s="176"/>
      <c r="BA215" s="176"/>
      <c r="BB215" s="177"/>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78"/>
      <c r="AO216" s="179"/>
      <c r="AP216" s="179"/>
      <c r="AQ216" s="179"/>
      <c r="AR216" s="179"/>
      <c r="AS216" s="179"/>
      <c r="AT216" s="179"/>
      <c r="AU216" s="179"/>
      <c r="AV216" s="179"/>
      <c r="AW216" s="179"/>
      <c r="AX216" s="179"/>
      <c r="AY216" s="179"/>
      <c r="AZ216" s="179"/>
      <c r="BA216" s="179"/>
      <c r="BB216" s="180"/>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IF([11]回答表!AD45="○","○","")</f>
        <v>○</v>
      </c>
      <c r="O219" s="98"/>
      <c r="P219" s="98"/>
      <c r="Q219" s="99"/>
      <c r="R219" s="39"/>
      <c r="S219" s="39"/>
      <c r="T219" s="39"/>
      <c r="U219" s="106" t="str">
        <f>IF([11]回答表!AD45="○",[11]回答表!B350,"")</f>
        <v>料金等徴収業務</v>
      </c>
      <c r="V219" s="107"/>
      <c r="W219" s="107"/>
      <c r="X219" s="107"/>
      <c r="Y219" s="107"/>
      <c r="Z219" s="107"/>
      <c r="AA219" s="107"/>
      <c r="AB219" s="107"/>
      <c r="AC219" s="107"/>
      <c r="AD219" s="107"/>
      <c r="AE219" s="107"/>
      <c r="AF219" s="107"/>
      <c r="AG219" s="107"/>
      <c r="AH219" s="107"/>
      <c r="AI219" s="107"/>
      <c r="AJ219" s="108"/>
      <c r="AK219" s="61"/>
      <c r="AL219" s="61"/>
      <c r="AM219" s="106" t="str">
        <f>IF([11]回答表!AD45="○",[11]回答表!B356,"")</f>
        <v>徴収料金の適正な管理や会計システムとの連携</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62"/>
      <c r="AS225" s="162"/>
      <c r="AT225" s="162"/>
      <c r="AU225" s="162"/>
      <c r="AV225" s="162"/>
      <c r="AW225" s="162"/>
      <c r="AX225" s="162"/>
      <c r="AY225" s="162"/>
      <c r="AZ225" s="162"/>
      <c r="BA225" s="162"/>
      <c r="BB225" s="162"/>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63"/>
      <c r="AS226" s="163"/>
      <c r="AT226" s="163"/>
      <c r="AU226" s="163"/>
      <c r="AV226" s="163"/>
      <c r="AW226" s="163"/>
      <c r="AX226" s="163"/>
      <c r="AY226" s="163"/>
      <c r="AZ226" s="163"/>
      <c r="BA226" s="163"/>
      <c r="BB226" s="163"/>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IF([11]回答表!X46="○","○","")</f>
        <v/>
      </c>
      <c r="O231" s="98"/>
      <c r="P231" s="98"/>
      <c r="Q231" s="99"/>
      <c r="R231" s="39"/>
      <c r="S231" s="39"/>
      <c r="T231" s="39"/>
      <c r="U231" s="106" t="str">
        <f>IF([11]回答表!X46="○",[11]回答表!B368,IF([11]回答表!AA46="○",[11]回答表!B382,""))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IF([11]回答表!X46="○",[11]回答表!BC375,IF([11]回答表!AA46="○",[11]回答表!BC389,""))</f>
        <v/>
      </c>
      <c r="AR231" s="150"/>
      <c r="AS231" s="150"/>
      <c r="AT231" s="150"/>
      <c r="AU231" s="164" t="s">
        <v>63</v>
      </c>
      <c r="AV231" s="165"/>
      <c r="AW231" s="165"/>
      <c r="AX231" s="166"/>
      <c r="AY231" s="150" t="str">
        <f>IF([11]回答表!X46="○",[11]回答表!BC380,IF([11]回答表!AA46="○",[11]回答表!BC394,""))</f>
        <v/>
      </c>
      <c r="AZ231" s="150"/>
      <c r="BA231" s="150"/>
      <c r="BB231" s="150"/>
      <c r="BC231" s="40"/>
      <c r="BD231" s="35"/>
      <c r="BE231" s="115" t="str">
        <f>IF([11]回答表!X46="○",[11]回答表!S374,IF([11]回答表!AA46="○",[11]回答表!S388,""))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67"/>
      <c r="AV232" s="168"/>
      <c r="AW232" s="168"/>
      <c r="AX232" s="169"/>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IF([11]回答表!X46="○",[11]回答表!BC376,IF([11]回答表!AA46="○",[11]回答表!BC390,""))</f>
        <v/>
      </c>
      <c r="AR233" s="150"/>
      <c r="AS233" s="150"/>
      <c r="AT233" s="150"/>
      <c r="AU233" s="167"/>
      <c r="AV233" s="168"/>
      <c r="AW233" s="168"/>
      <c r="AX233" s="169"/>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67"/>
      <c r="AV234" s="168"/>
      <c r="AW234" s="168"/>
      <c r="AX234" s="169"/>
      <c r="AY234" s="150"/>
      <c r="AZ234" s="150"/>
      <c r="BA234" s="150"/>
      <c r="BB234" s="150"/>
      <c r="BC234" s="40"/>
      <c r="BD234" s="35"/>
      <c r="BE234" s="82" t="str">
        <f>IF([11]回答表!X46="○",[11]回答表!V374,IF([11]回答表!AA46="○",[11]回答表!V388,""))</f>
        <v/>
      </c>
      <c r="BF234" s="83"/>
      <c r="BG234" s="83"/>
      <c r="BH234" s="83"/>
      <c r="BI234" s="82" t="str">
        <f>IF([11]回答表!X46="○",[11]回答表!V375,IF([11]回答表!AA46="○",[11]回答表!V389,""))</f>
        <v/>
      </c>
      <c r="BJ234" s="83"/>
      <c r="BK234" s="83"/>
      <c r="BL234" s="86"/>
      <c r="BM234" s="82" t="str">
        <f>IF([11]回答表!X46="○",[11]回答表!V376,IF([11]回答表!AA46="○",[11]回答表!V390,""))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IF([11]回答表!X46="○",[11]回答表!BC377,IF([11]回答表!AA46="○",[11]回答表!BC391,""))</f>
        <v/>
      </c>
      <c r="AR235" s="150"/>
      <c r="AS235" s="150"/>
      <c r="AT235" s="150"/>
      <c r="AU235" s="170"/>
      <c r="AV235" s="171"/>
      <c r="AW235" s="171"/>
      <c r="AX235" s="172"/>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60" t="str">
        <f>IF([11]回答表!X46="○",[11]回答表!BC381,IF([11]回答表!AA46="○",[11]回答表!BC395,""))</f>
        <v/>
      </c>
      <c r="AZ236" s="160"/>
      <c r="BA236" s="160"/>
      <c r="BB236" s="160"/>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IF([11]回答表!AA46="○","○","")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61" t="str">
        <f>IF([11]回答表!X46="○",[11]回答表!BC378,IF([11]回答表!AA46="○",[11]回答表!BC392,""))</f>
        <v/>
      </c>
      <c r="AR237" s="150"/>
      <c r="AS237" s="150"/>
      <c r="AT237" s="150"/>
      <c r="AU237" s="149"/>
      <c r="AV237" s="149"/>
      <c r="AW237" s="149"/>
      <c r="AX237" s="149"/>
      <c r="AY237" s="160"/>
      <c r="AZ237" s="160"/>
      <c r="BA237" s="160"/>
      <c r="BB237" s="160"/>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60"/>
      <c r="AZ238" s="160"/>
      <c r="BA238" s="160"/>
      <c r="BB238" s="160"/>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IF([11]回答表!X46="○",[11]回答表!BC379,IF([11]回答表!AA46="○",[11]回答表!BC393,""))</f>
        <v/>
      </c>
      <c r="AR239" s="150"/>
      <c r="AS239" s="150"/>
      <c r="AT239" s="150"/>
      <c r="AU239" s="149"/>
      <c r="AV239" s="149"/>
      <c r="AW239" s="149"/>
      <c r="AX239" s="149"/>
      <c r="AY239" s="160"/>
      <c r="AZ239" s="160"/>
      <c r="BA239" s="160"/>
      <c r="BB239" s="160"/>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60"/>
      <c r="AZ240" s="160"/>
      <c r="BA240" s="160"/>
      <c r="BB240" s="160"/>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IF([11]回答表!AD46="○","○","")</f>
        <v>○</v>
      </c>
      <c r="O243" s="98"/>
      <c r="P243" s="98"/>
      <c r="Q243" s="99"/>
      <c r="R243" s="39"/>
      <c r="S243" s="39"/>
      <c r="T243" s="39"/>
      <c r="U243" s="106" t="str">
        <f>IF([11]回答表!AD46="○",[11]回答表!B396,"")</f>
        <v>コンセッション方式の導入</v>
      </c>
      <c r="V243" s="107"/>
      <c r="W243" s="107"/>
      <c r="X243" s="107"/>
      <c r="Y243" s="107"/>
      <c r="Z243" s="107"/>
      <c r="AA243" s="107"/>
      <c r="AB243" s="107"/>
      <c r="AC243" s="107"/>
      <c r="AD243" s="107"/>
      <c r="AE243" s="107"/>
      <c r="AF243" s="107"/>
      <c r="AG243" s="107"/>
      <c r="AH243" s="107"/>
      <c r="AI243" s="107"/>
      <c r="AJ243" s="108"/>
      <c r="AK243" s="56"/>
      <c r="AL243" s="56"/>
      <c r="AM243" s="151" t="str">
        <f>IF([11]回答表!AD46="○",[11]回答表!B402,"")</f>
        <v>研修会に参加するなど情報収集に努めているが、デメリットなど水道事業の不利益が生じないかを含めて慎重に検討している。</v>
      </c>
      <c r="AN243" s="152"/>
      <c r="AO243" s="152"/>
      <c r="AP243" s="152"/>
      <c r="AQ243" s="152"/>
      <c r="AR243" s="152"/>
      <c r="AS243" s="152"/>
      <c r="AT243" s="152"/>
      <c r="AU243" s="152"/>
      <c r="AV243" s="152"/>
      <c r="AW243" s="152"/>
      <c r="AX243" s="152"/>
      <c r="AY243" s="152"/>
      <c r="AZ243" s="152"/>
      <c r="BA243" s="152"/>
      <c r="BB243" s="152"/>
      <c r="BC243" s="152"/>
      <c r="BD243" s="152"/>
      <c r="BE243" s="152"/>
      <c r="BF243" s="152"/>
      <c r="BG243" s="152"/>
      <c r="BH243" s="152"/>
      <c r="BI243" s="152"/>
      <c r="BJ243" s="152"/>
      <c r="BK243" s="152"/>
      <c r="BL243" s="152"/>
      <c r="BM243" s="152"/>
      <c r="BN243" s="152"/>
      <c r="BO243" s="152"/>
      <c r="BP243" s="153"/>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54"/>
      <c r="AN244" s="155"/>
      <c r="AO244" s="155"/>
      <c r="AP244" s="155"/>
      <c r="AQ244" s="155"/>
      <c r="AR244" s="155"/>
      <c r="AS244" s="155"/>
      <c r="AT244" s="155"/>
      <c r="AU244" s="155"/>
      <c r="AV244" s="155"/>
      <c r="AW244" s="155"/>
      <c r="AX244" s="155"/>
      <c r="AY244" s="155"/>
      <c r="AZ244" s="155"/>
      <c r="BA244" s="155"/>
      <c r="BB244" s="155"/>
      <c r="BC244" s="155"/>
      <c r="BD244" s="155"/>
      <c r="BE244" s="155"/>
      <c r="BF244" s="155"/>
      <c r="BG244" s="155"/>
      <c r="BH244" s="155"/>
      <c r="BI244" s="155"/>
      <c r="BJ244" s="155"/>
      <c r="BK244" s="155"/>
      <c r="BL244" s="155"/>
      <c r="BM244" s="155"/>
      <c r="BN244" s="155"/>
      <c r="BO244" s="155"/>
      <c r="BP244" s="156"/>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54"/>
      <c r="AN245" s="155"/>
      <c r="AO245" s="155"/>
      <c r="AP245" s="155"/>
      <c r="AQ245" s="155"/>
      <c r="AR245" s="155"/>
      <c r="AS245" s="155"/>
      <c r="AT245" s="155"/>
      <c r="AU245" s="155"/>
      <c r="AV245" s="155"/>
      <c r="AW245" s="155"/>
      <c r="AX245" s="155"/>
      <c r="AY245" s="155"/>
      <c r="AZ245" s="155"/>
      <c r="BA245" s="155"/>
      <c r="BB245" s="155"/>
      <c r="BC245" s="155"/>
      <c r="BD245" s="155"/>
      <c r="BE245" s="155"/>
      <c r="BF245" s="155"/>
      <c r="BG245" s="155"/>
      <c r="BH245" s="155"/>
      <c r="BI245" s="155"/>
      <c r="BJ245" s="155"/>
      <c r="BK245" s="155"/>
      <c r="BL245" s="155"/>
      <c r="BM245" s="155"/>
      <c r="BN245" s="155"/>
      <c r="BO245" s="155"/>
      <c r="BP245" s="156"/>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57"/>
      <c r="AN246" s="158"/>
      <c r="AO246" s="158"/>
      <c r="AP246" s="158"/>
      <c r="AQ246" s="158"/>
      <c r="AR246" s="158"/>
      <c r="AS246" s="158"/>
      <c r="AT246" s="158"/>
      <c r="AU246" s="158"/>
      <c r="AV246" s="158"/>
      <c r="AW246" s="158"/>
      <c r="AX246" s="158"/>
      <c r="AY246" s="158"/>
      <c r="AZ246" s="158"/>
      <c r="BA246" s="158"/>
      <c r="BB246" s="158"/>
      <c r="BC246" s="158"/>
      <c r="BD246" s="158"/>
      <c r="BE246" s="158"/>
      <c r="BF246" s="158"/>
      <c r="BG246" s="158"/>
      <c r="BH246" s="158"/>
      <c r="BI246" s="158"/>
      <c r="BJ246" s="158"/>
      <c r="BK246" s="158"/>
      <c r="BL246" s="158"/>
      <c r="BM246" s="158"/>
      <c r="BN246" s="158"/>
      <c r="BO246" s="158"/>
      <c r="BP246" s="159"/>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IF([11]回答表!X47="○","○","")</f>
        <v/>
      </c>
      <c r="O254" s="98"/>
      <c r="P254" s="98"/>
      <c r="Q254" s="99"/>
      <c r="R254" s="39"/>
      <c r="S254" s="39"/>
      <c r="T254" s="39"/>
      <c r="U254" s="106" t="str">
        <f>IF([11]回答表!X47="○",[11]回答表!B414,IF([11]回答表!AA47="○",[11]回答表!B431,""))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IF([11]回答表!X47="○",[11]回答表!B424,IF([11]回答表!AA47="○",[11]回答表!B441,""))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IF([11]回答表!X47="○",[11]回答表!G420,IF([11]回答表!AA47="○",[11]回答表!G437,""))</f>
        <v/>
      </c>
      <c r="AN256" s="119"/>
      <c r="AO256" s="119"/>
      <c r="AP256" s="119"/>
      <c r="AQ256" s="119"/>
      <c r="AR256" s="119"/>
      <c r="AS256" s="119"/>
      <c r="AT256" s="120"/>
      <c r="AU256" s="118" t="str">
        <f>IF([11]回答表!X47="○",[11]回答表!G421,IF([11]回答表!AA47="○",[11]回答表!G438,""))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IF([11]回答表!X47="○",[11]回答表!E424,IF([11]回答表!AA47="○",[11]回答表!E441,""))</f>
        <v/>
      </c>
      <c r="BF257" s="83"/>
      <c r="BG257" s="83"/>
      <c r="BH257" s="83"/>
      <c r="BI257" s="82" t="str">
        <f>IF([11]回答表!X47="○",[11]回答表!E425,IF([11]回答表!AA47="○",[11]回答表!E442,""))</f>
        <v/>
      </c>
      <c r="BJ257" s="83"/>
      <c r="BK257" s="83"/>
      <c r="BL257" s="86"/>
      <c r="BM257" s="82" t="str">
        <f>IF([11]回答表!X47="○",[11]回答表!E426,IF([11]回答表!AA47="○",[11]回答表!E443,""))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IF([11]回答表!AA47="○","○","")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IF([11]回答表!AD47="○","○","")</f>
        <v/>
      </c>
      <c r="O266" s="98"/>
      <c r="P266" s="98"/>
      <c r="Q266" s="99"/>
      <c r="R266" s="39"/>
      <c r="S266" s="39"/>
      <c r="T266" s="39"/>
      <c r="U266" s="106" t="str">
        <f>IF([11]回答表!AD47="○",[11]回答表!B448,"")</f>
        <v/>
      </c>
      <c r="V266" s="107"/>
      <c r="W266" s="107"/>
      <c r="X266" s="107"/>
      <c r="Y266" s="107"/>
      <c r="Z266" s="107"/>
      <c r="AA266" s="107"/>
      <c r="AB266" s="107"/>
      <c r="AC266" s="107"/>
      <c r="AD266" s="107"/>
      <c r="AE266" s="107"/>
      <c r="AF266" s="107"/>
      <c r="AG266" s="107"/>
      <c r="AH266" s="107"/>
      <c r="AI266" s="107"/>
      <c r="AJ266" s="108"/>
      <c r="AK266" s="50"/>
      <c r="AL266" s="50"/>
      <c r="AM266" s="106" t="str">
        <f>IF([11]回答表!AD47="○",[11]回答表!B454,"")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IF([11]回答表!R48="○",[11]回答表!B467,"")</f>
        <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2"/>
  <conditionalFormatting sqref="A29:XFD30 A28:BI28 BR28:XFD28">
    <cfRule type="expression" dxfId="12"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21590-4A24-41F5-B03B-2ABA65E6F457}">
  <sheetPr>
    <pageSetUpPr fitToPage="1"/>
  </sheetPr>
  <dimension ref="A1:CE298"/>
  <sheetViews>
    <sheetView showZeros="0" zoomScale="55" zoomScaleNormal="55" workbookViewId="0">
      <selection activeCell="CA248" sqref="CA248"/>
    </sheetView>
  </sheetViews>
  <sheetFormatPr defaultColWidth="2.875" defaultRowHeight="12.6" customHeight="1" x14ac:dyDescent="0.4"/>
  <cols>
    <col min="1" max="70" width="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63" t="s">
        <v>0</v>
      </c>
      <c r="D8" s="264"/>
      <c r="E8" s="264"/>
      <c r="F8" s="264"/>
      <c r="G8" s="264"/>
      <c r="H8" s="264"/>
      <c r="I8" s="264"/>
      <c r="J8" s="264"/>
      <c r="K8" s="264"/>
      <c r="L8" s="264"/>
      <c r="M8" s="264"/>
      <c r="N8" s="264"/>
      <c r="O8" s="264"/>
      <c r="P8" s="264"/>
      <c r="Q8" s="264"/>
      <c r="R8" s="264"/>
      <c r="S8" s="264"/>
      <c r="T8" s="264"/>
      <c r="U8" s="265" t="s">
        <v>1</v>
      </c>
      <c r="V8" s="266"/>
      <c r="W8" s="266"/>
      <c r="X8" s="266"/>
      <c r="Y8" s="266"/>
      <c r="Z8" s="266"/>
      <c r="AA8" s="266"/>
      <c r="AB8" s="266"/>
      <c r="AC8" s="266"/>
      <c r="AD8" s="266"/>
      <c r="AE8" s="266"/>
      <c r="AF8" s="266"/>
      <c r="AG8" s="266"/>
      <c r="AH8" s="266"/>
      <c r="AI8" s="266"/>
      <c r="AJ8" s="266"/>
      <c r="AK8" s="266"/>
      <c r="AL8" s="266"/>
      <c r="AM8" s="266"/>
      <c r="AN8" s="267"/>
      <c r="AO8" s="268" t="s">
        <v>2</v>
      </c>
      <c r="AP8" s="266"/>
      <c r="AQ8" s="266"/>
      <c r="AR8" s="266"/>
      <c r="AS8" s="266"/>
      <c r="AT8" s="266"/>
      <c r="AU8" s="266"/>
      <c r="AV8" s="266"/>
      <c r="AW8" s="266"/>
      <c r="AX8" s="266"/>
      <c r="AY8" s="266"/>
      <c r="AZ8" s="266"/>
      <c r="BA8" s="266"/>
      <c r="BB8" s="266"/>
      <c r="BC8" s="266"/>
      <c r="BD8" s="266"/>
      <c r="BE8" s="267"/>
      <c r="BF8" s="263" t="s">
        <v>3</v>
      </c>
      <c r="BG8" s="269"/>
      <c r="BH8" s="269"/>
      <c r="BI8" s="269"/>
      <c r="BJ8" s="269"/>
      <c r="BK8" s="269"/>
      <c r="BL8" s="269"/>
      <c r="BM8" s="269"/>
      <c r="BN8" s="269"/>
      <c r="BO8" s="269"/>
      <c r="BP8" s="269"/>
      <c r="BQ8" s="8"/>
    </row>
    <row r="9" spans="3:70" ht="15.6" customHeight="1" x14ac:dyDescent="0.4">
      <c r="C9" s="264"/>
      <c r="D9" s="264"/>
      <c r="E9" s="264"/>
      <c r="F9" s="264"/>
      <c r="G9" s="264"/>
      <c r="H9" s="264"/>
      <c r="I9" s="264"/>
      <c r="J9" s="264"/>
      <c r="K9" s="264"/>
      <c r="L9" s="264"/>
      <c r="M9" s="264"/>
      <c r="N9" s="264"/>
      <c r="O9" s="264"/>
      <c r="P9" s="264"/>
      <c r="Q9" s="264"/>
      <c r="R9" s="264"/>
      <c r="S9" s="264"/>
      <c r="T9" s="264"/>
      <c r="U9" s="219"/>
      <c r="V9" s="217"/>
      <c r="W9" s="217"/>
      <c r="X9" s="217"/>
      <c r="Y9" s="217"/>
      <c r="Z9" s="217"/>
      <c r="AA9" s="217"/>
      <c r="AB9" s="217"/>
      <c r="AC9" s="217"/>
      <c r="AD9" s="217"/>
      <c r="AE9" s="217"/>
      <c r="AF9" s="217"/>
      <c r="AG9" s="217"/>
      <c r="AH9" s="217"/>
      <c r="AI9" s="217"/>
      <c r="AJ9" s="217"/>
      <c r="AK9" s="217"/>
      <c r="AL9" s="217"/>
      <c r="AM9" s="217"/>
      <c r="AN9" s="218"/>
      <c r="AO9" s="219"/>
      <c r="AP9" s="217"/>
      <c r="AQ9" s="217"/>
      <c r="AR9" s="217"/>
      <c r="AS9" s="217"/>
      <c r="AT9" s="217"/>
      <c r="AU9" s="217"/>
      <c r="AV9" s="217"/>
      <c r="AW9" s="217"/>
      <c r="AX9" s="217"/>
      <c r="AY9" s="217"/>
      <c r="AZ9" s="217"/>
      <c r="BA9" s="217"/>
      <c r="BB9" s="217"/>
      <c r="BC9" s="217"/>
      <c r="BD9" s="217"/>
      <c r="BE9" s="218"/>
      <c r="BF9" s="269"/>
      <c r="BG9" s="269"/>
      <c r="BH9" s="269"/>
      <c r="BI9" s="269"/>
      <c r="BJ9" s="269"/>
      <c r="BK9" s="269"/>
      <c r="BL9" s="269"/>
      <c r="BM9" s="269"/>
      <c r="BN9" s="269"/>
      <c r="BO9" s="269"/>
      <c r="BP9" s="269"/>
      <c r="BQ9" s="8"/>
    </row>
    <row r="10" spans="3:70" ht="15.6" customHeight="1" x14ac:dyDescent="0.4">
      <c r="C10" s="264"/>
      <c r="D10" s="264"/>
      <c r="E10" s="264"/>
      <c r="F10" s="264"/>
      <c r="G10" s="264"/>
      <c r="H10" s="264"/>
      <c r="I10" s="264"/>
      <c r="J10" s="264"/>
      <c r="K10" s="264"/>
      <c r="L10" s="264"/>
      <c r="M10" s="264"/>
      <c r="N10" s="264"/>
      <c r="O10" s="264"/>
      <c r="P10" s="264"/>
      <c r="Q10" s="264"/>
      <c r="R10" s="264"/>
      <c r="S10" s="264"/>
      <c r="T10" s="264"/>
      <c r="U10" s="220"/>
      <c r="V10" s="221"/>
      <c r="W10" s="221"/>
      <c r="X10" s="221"/>
      <c r="Y10" s="221"/>
      <c r="Z10" s="221"/>
      <c r="AA10" s="221"/>
      <c r="AB10" s="221"/>
      <c r="AC10" s="221"/>
      <c r="AD10" s="221"/>
      <c r="AE10" s="221"/>
      <c r="AF10" s="221"/>
      <c r="AG10" s="221"/>
      <c r="AH10" s="221"/>
      <c r="AI10" s="221"/>
      <c r="AJ10" s="221"/>
      <c r="AK10" s="221"/>
      <c r="AL10" s="221"/>
      <c r="AM10" s="221"/>
      <c r="AN10" s="222"/>
      <c r="AO10" s="220"/>
      <c r="AP10" s="221"/>
      <c r="AQ10" s="221"/>
      <c r="AR10" s="221"/>
      <c r="AS10" s="221"/>
      <c r="AT10" s="221"/>
      <c r="AU10" s="221"/>
      <c r="AV10" s="221"/>
      <c r="AW10" s="221"/>
      <c r="AX10" s="221"/>
      <c r="AY10" s="221"/>
      <c r="AZ10" s="221"/>
      <c r="BA10" s="221"/>
      <c r="BB10" s="221"/>
      <c r="BC10" s="221"/>
      <c r="BD10" s="221"/>
      <c r="BE10" s="222"/>
      <c r="BF10" s="269"/>
      <c r="BG10" s="269"/>
      <c r="BH10" s="269"/>
      <c r="BI10" s="269"/>
      <c r="BJ10" s="269"/>
      <c r="BK10" s="269"/>
      <c r="BL10" s="269"/>
      <c r="BM10" s="269"/>
      <c r="BN10" s="269"/>
      <c r="BO10" s="269"/>
      <c r="BP10" s="269"/>
      <c r="BQ10" s="8"/>
    </row>
    <row r="11" spans="3:70" ht="15.6" customHeight="1" x14ac:dyDescent="0.4">
      <c r="C11" s="270" t="str">
        <f>IF(COUNTIF([7]回答表!K15,"*")&gt;0,[7]回答表!K15,"")</f>
        <v>大館市</v>
      </c>
      <c r="D11" s="264"/>
      <c r="E11" s="264"/>
      <c r="F11" s="264"/>
      <c r="G11" s="264"/>
      <c r="H11" s="264"/>
      <c r="I11" s="264"/>
      <c r="J11" s="264"/>
      <c r="K11" s="264"/>
      <c r="L11" s="264"/>
      <c r="M11" s="264"/>
      <c r="N11" s="264"/>
      <c r="O11" s="264"/>
      <c r="P11" s="264"/>
      <c r="Q11" s="264"/>
      <c r="R11" s="264"/>
      <c r="S11" s="264"/>
      <c r="T11" s="264"/>
      <c r="U11" s="271" t="str">
        <f>IF(COUNTIF([7]回答表!F17,"*")&gt;0,[7]回答表!F17,"")</f>
        <v>介護サービス事業</v>
      </c>
      <c r="V11" s="272"/>
      <c r="W11" s="272"/>
      <c r="X11" s="272"/>
      <c r="Y11" s="272"/>
      <c r="Z11" s="272"/>
      <c r="AA11" s="272"/>
      <c r="AB11" s="272"/>
      <c r="AC11" s="272"/>
      <c r="AD11" s="272"/>
      <c r="AE11" s="272"/>
      <c r="AF11" s="266"/>
      <c r="AG11" s="266"/>
      <c r="AH11" s="266"/>
      <c r="AI11" s="266"/>
      <c r="AJ11" s="266"/>
      <c r="AK11" s="266"/>
      <c r="AL11" s="266"/>
      <c r="AM11" s="266"/>
      <c r="AN11" s="267"/>
      <c r="AO11" s="277" t="str">
        <f>IF(COUNTIF([7]回答表!W17,"*")&gt;0,[7]回答表!W17,"")</f>
        <v>老人短期入所施設</v>
      </c>
      <c r="AP11" s="266"/>
      <c r="AQ11" s="266"/>
      <c r="AR11" s="266"/>
      <c r="AS11" s="266"/>
      <c r="AT11" s="266"/>
      <c r="AU11" s="266"/>
      <c r="AV11" s="266"/>
      <c r="AW11" s="266"/>
      <c r="AX11" s="266"/>
      <c r="AY11" s="266"/>
      <c r="AZ11" s="266"/>
      <c r="BA11" s="266"/>
      <c r="BB11" s="266"/>
      <c r="BC11" s="266"/>
      <c r="BD11" s="266"/>
      <c r="BE11" s="267"/>
      <c r="BF11" s="270" t="str">
        <f>IF(COUNTIF([7]回答表!F19,"*")&gt;0,[7]回答表!F19,"")</f>
        <v>介護サービス事業特別会計</v>
      </c>
      <c r="BG11" s="269"/>
      <c r="BH11" s="269"/>
      <c r="BI11" s="269"/>
      <c r="BJ11" s="269"/>
      <c r="BK11" s="269"/>
      <c r="BL11" s="269"/>
      <c r="BM11" s="269"/>
      <c r="BN11" s="269"/>
      <c r="BO11" s="269"/>
      <c r="BP11" s="269"/>
      <c r="BQ11" s="6"/>
    </row>
    <row r="12" spans="3:70" ht="15.6" customHeight="1" x14ac:dyDescent="0.4">
      <c r="C12" s="264"/>
      <c r="D12" s="264"/>
      <c r="E12" s="264"/>
      <c r="F12" s="264"/>
      <c r="G12" s="264"/>
      <c r="H12" s="264"/>
      <c r="I12" s="264"/>
      <c r="J12" s="264"/>
      <c r="K12" s="264"/>
      <c r="L12" s="264"/>
      <c r="M12" s="264"/>
      <c r="N12" s="264"/>
      <c r="O12" s="264"/>
      <c r="P12" s="264"/>
      <c r="Q12" s="264"/>
      <c r="R12" s="264"/>
      <c r="S12" s="264"/>
      <c r="T12" s="264"/>
      <c r="U12" s="273"/>
      <c r="V12" s="274"/>
      <c r="W12" s="274"/>
      <c r="X12" s="274"/>
      <c r="Y12" s="274"/>
      <c r="Z12" s="274"/>
      <c r="AA12" s="274"/>
      <c r="AB12" s="274"/>
      <c r="AC12" s="274"/>
      <c r="AD12" s="274"/>
      <c r="AE12" s="274"/>
      <c r="AF12" s="217"/>
      <c r="AG12" s="217"/>
      <c r="AH12" s="217"/>
      <c r="AI12" s="217"/>
      <c r="AJ12" s="217"/>
      <c r="AK12" s="217"/>
      <c r="AL12" s="217"/>
      <c r="AM12" s="217"/>
      <c r="AN12" s="218"/>
      <c r="AO12" s="219"/>
      <c r="AP12" s="217"/>
      <c r="AQ12" s="217"/>
      <c r="AR12" s="217"/>
      <c r="AS12" s="217"/>
      <c r="AT12" s="217"/>
      <c r="AU12" s="217"/>
      <c r="AV12" s="217"/>
      <c r="AW12" s="217"/>
      <c r="AX12" s="217"/>
      <c r="AY12" s="217"/>
      <c r="AZ12" s="217"/>
      <c r="BA12" s="217"/>
      <c r="BB12" s="217"/>
      <c r="BC12" s="217"/>
      <c r="BD12" s="217"/>
      <c r="BE12" s="218"/>
      <c r="BF12" s="269"/>
      <c r="BG12" s="269"/>
      <c r="BH12" s="269"/>
      <c r="BI12" s="269"/>
      <c r="BJ12" s="269"/>
      <c r="BK12" s="269"/>
      <c r="BL12" s="269"/>
      <c r="BM12" s="269"/>
      <c r="BN12" s="269"/>
      <c r="BO12" s="269"/>
      <c r="BP12" s="269"/>
      <c r="BQ12" s="6"/>
    </row>
    <row r="13" spans="3:70" ht="15.6" customHeight="1" x14ac:dyDescent="0.4">
      <c r="C13" s="264"/>
      <c r="D13" s="264"/>
      <c r="E13" s="264"/>
      <c r="F13" s="264"/>
      <c r="G13" s="264"/>
      <c r="H13" s="264"/>
      <c r="I13" s="264"/>
      <c r="J13" s="264"/>
      <c r="K13" s="264"/>
      <c r="L13" s="264"/>
      <c r="M13" s="264"/>
      <c r="N13" s="264"/>
      <c r="O13" s="264"/>
      <c r="P13" s="264"/>
      <c r="Q13" s="264"/>
      <c r="R13" s="264"/>
      <c r="S13" s="264"/>
      <c r="T13" s="264"/>
      <c r="U13" s="275"/>
      <c r="V13" s="276"/>
      <c r="W13" s="276"/>
      <c r="X13" s="276"/>
      <c r="Y13" s="276"/>
      <c r="Z13" s="276"/>
      <c r="AA13" s="276"/>
      <c r="AB13" s="276"/>
      <c r="AC13" s="276"/>
      <c r="AD13" s="276"/>
      <c r="AE13" s="276"/>
      <c r="AF13" s="221"/>
      <c r="AG13" s="221"/>
      <c r="AH13" s="221"/>
      <c r="AI13" s="221"/>
      <c r="AJ13" s="221"/>
      <c r="AK13" s="221"/>
      <c r="AL13" s="221"/>
      <c r="AM13" s="221"/>
      <c r="AN13" s="222"/>
      <c r="AO13" s="220"/>
      <c r="AP13" s="221"/>
      <c r="AQ13" s="221"/>
      <c r="AR13" s="221"/>
      <c r="AS13" s="221"/>
      <c r="AT13" s="221"/>
      <c r="AU13" s="221"/>
      <c r="AV13" s="221"/>
      <c r="AW13" s="221"/>
      <c r="AX13" s="221"/>
      <c r="AY13" s="221"/>
      <c r="AZ13" s="221"/>
      <c r="BA13" s="221"/>
      <c r="BB13" s="221"/>
      <c r="BC13" s="221"/>
      <c r="BD13" s="221"/>
      <c r="BE13" s="222"/>
      <c r="BF13" s="269"/>
      <c r="BG13" s="269"/>
      <c r="BH13" s="269"/>
      <c r="BI13" s="269"/>
      <c r="BJ13" s="269"/>
      <c r="BK13" s="269"/>
      <c r="BL13" s="269"/>
      <c r="BM13" s="269"/>
      <c r="BN13" s="269"/>
      <c r="BO13" s="269"/>
      <c r="BP13" s="269"/>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30" t="s">
        <v>4</v>
      </c>
      <c r="E18" s="231"/>
      <c r="F18" s="231"/>
      <c r="G18" s="231"/>
      <c r="H18" s="231"/>
      <c r="I18" s="231"/>
      <c r="J18" s="231"/>
      <c r="K18" s="231"/>
      <c r="L18" s="231"/>
      <c r="M18" s="231"/>
      <c r="N18" s="231"/>
      <c r="O18" s="231"/>
      <c r="P18" s="231"/>
      <c r="Q18" s="231"/>
      <c r="R18" s="231"/>
      <c r="S18" s="231"/>
      <c r="T18" s="231"/>
      <c r="U18" s="231"/>
      <c r="V18" s="231"/>
      <c r="W18" s="231"/>
      <c r="X18" s="231"/>
      <c r="Y18" s="231"/>
      <c r="Z18" s="231"/>
      <c r="AA18" s="231"/>
      <c r="AB18" s="231"/>
      <c r="AC18" s="231"/>
      <c r="AD18" s="231"/>
      <c r="AE18" s="231"/>
      <c r="AF18" s="231"/>
      <c r="AG18" s="231"/>
      <c r="AH18" s="231"/>
      <c r="AI18" s="231"/>
      <c r="AJ18" s="231"/>
      <c r="AK18" s="231"/>
      <c r="AL18" s="231"/>
      <c r="AM18" s="231"/>
      <c r="AN18" s="231"/>
      <c r="AO18" s="231"/>
      <c r="AP18" s="231"/>
      <c r="AQ18" s="231"/>
      <c r="AR18" s="231"/>
      <c r="AS18" s="231"/>
      <c r="AT18" s="231"/>
      <c r="AU18" s="231"/>
      <c r="AV18" s="231"/>
      <c r="AW18" s="231"/>
      <c r="AX18" s="231"/>
      <c r="AY18" s="231"/>
      <c r="AZ18" s="232"/>
      <c r="BA18" s="15"/>
      <c r="BB18" s="15"/>
      <c r="BC18" s="15"/>
      <c r="BD18" s="15"/>
      <c r="BE18" s="15"/>
      <c r="BF18" s="15"/>
      <c r="BG18" s="15"/>
      <c r="BH18" s="15"/>
      <c r="BI18" s="15"/>
      <c r="BJ18" s="15"/>
      <c r="BK18" s="16"/>
      <c r="BR18" s="13"/>
    </row>
    <row r="19" spans="3:83" ht="15.6" customHeight="1" x14ac:dyDescent="0.4">
      <c r="C19" s="14"/>
      <c r="D19" s="233"/>
      <c r="E19" s="234"/>
      <c r="F19" s="234"/>
      <c r="G19" s="234"/>
      <c r="H19" s="234"/>
      <c r="I19" s="234"/>
      <c r="J19" s="234"/>
      <c r="K19" s="234"/>
      <c r="L19" s="234"/>
      <c r="M19" s="234"/>
      <c r="N19" s="234"/>
      <c r="O19" s="234"/>
      <c r="P19" s="234"/>
      <c r="Q19" s="234"/>
      <c r="R19" s="234"/>
      <c r="S19" s="234"/>
      <c r="T19" s="234"/>
      <c r="U19" s="234"/>
      <c r="V19" s="234"/>
      <c r="W19" s="234"/>
      <c r="X19" s="234"/>
      <c r="Y19" s="234"/>
      <c r="Z19" s="234"/>
      <c r="AA19" s="234"/>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5"/>
      <c r="BA19" s="15"/>
      <c r="BB19" s="15"/>
      <c r="BC19" s="15"/>
      <c r="BD19" s="15"/>
      <c r="BE19" s="15"/>
      <c r="BF19" s="15"/>
      <c r="BG19" s="15"/>
      <c r="BH19" s="15"/>
      <c r="BI19" s="15"/>
      <c r="BJ19" s="15"/>
      <c r="BK19" s="16"/>
      <c r="BR19" s="13"/>
    </row>
    <row r="20" spans="3:83" ht="13.35" customHeight="1" x14ac:dyDescent="0.4">
      <c r="C20" s="14"/>
      <c r="D20" s="236" t="s">
        <v>5</v>
      </c>
      <c r="E20" s="237"/>
      <c r="F20" s="237"/>
      <c r="G20" s="237"/>
      <c r="H20" s="237"/>
      <c r="I20" s="237"/>
      <c r="J20" s="238"/>
      <c r="K20" s="236" t="s">
        <v>6</v>
      </c>
      <c r="L20" s="237"/>
      <c r="M20" s="237"/>
      <c r="N20" s="237"/>
      <c r="O20" s="237"/>
      <c r="P20" s="237"/>
      <c r="Q20" s="238"/>
      <c r="R20" s="236" t="s">
        <v>7</v>
      </c>
      <c r="S20" s="237"/>
      <c r="T20" s="237"/>
      <c r="U20" s="237"/>
      <c r="V20" s="237"/>
      <c r="W20" s="237"/>
      <c r="X20" s="238"/>
      <c r="Y20" s="245" t="s">
        <v>8</v>
      </c>
      <c r="Z20" s="246"/>
      <c r="AA20" s="246"/>
      <c r="AB20" s="246"/>
      <c r="AC20" s="246"/>
      <c r="AD20" s="246"/>
      <c r="AE20" s="246"/>
      <c r="AF20" s="246"/>
      <c r="AG20" s="246"/>
      <c r="AH20" s="246"/>
      <c r="AI20" s="246"/>
      <c r="AJ20" s="246"/>
      <c r="AK20" s="246"/>
      <c r="AL20" s="246"/>
      <c r="AM20" s="246"/>
      <c r="AN20" s="246"/>
      <c r="AO20" s="246"/>
      <c r="AP20" s="246"/>
      <c r="AQ20" s="246"/>
      <c r="AR20" s="246"/>
      <c r="AS20" s="246"/>
      <c r="AT20" s="246"/>
      <c r="AU20" s="246"/>
      <c r="AV20" s="246"/>
      <c r="AW20" s="246"/>
      <c r="AX20" s="246"/>
      <c r="AY20" s="246"/>
      <c r="AZ20" s="247"/>
      <c r="BA20" s="17"/>
      <c r="BB20" s="254" t="s">
        <v>9</v>
      </c>
      <c r="BC20" s="255"/>
      <c r="BD20" s="255"/>
      <c r="BE20" s="255"/>
      <c r="BF20" s="255"/>
      <c r="BG20" s="255"/>
      <c r="BH20" s="255"/>
      <c r="BI20" s="223"/>
      <c r="BJ20" s="224"/>
      <c r="BK20" s="16"/>
      <c r="BR20" s="18"/>
    </row>
    <row r="21" spans="3:83" ht="13.35" customHeight="1" x14ac:dyDescent="0.4">
      <c r="C21" s="14"/>
      <c r="D21" s="239"/>
      <c r="E21" s="240"/>
      <c r="F21" s="240"/>
      <c r="G21" s="240"/>
      <c r="H21" s="240"/>
      <c r="I21" s="240"/>
      <c r="J21" s="241"/>
      <c r="K21" s="239"/>
      <c r="L21" s="240"/>
      <c r="M21" s="240"/>
      <c r="N21" s="240"/>
      <c r="O21" s="240"/>
      <c r="P21" s="240"/>
      <c r="Q21" s="241"/>
      <c r="R21" s="239"/>
      <c r="S21" s="240"/>
      <c r="T21" s="240"/>
      <c r="U21" s="240"/>
      <c r="V21" s="240"/>
      <c r="W21" s="240"/>
      <c r="X21" s="241"/>
      <c r="Y21" s="248"/>
      <c r="Z21" s="249"/>
      <c r="AA21" s="249"/>
      <c r="AB21" s="249"/>
      <c r="AC21" s="249"/>
      <c r="AD21" s="249"/>
      <c r="AE21" s="249"/>
      <c r="AF21" s="249"/>
      <c r="AG21" s="249"/>
      <c r="AH21" s="249"/>
      <c r="AI21" s="249"/>
      <c r="AJ21" s="249"/>
      <c r="AK21" s="249"/>
      <c r="AL21" s="249"/>
      <c r="AM21" s="249"/>
      <c r="AN21" s="249"/>
      <c r="AO21" s="249"/>
      <c r="AP21" s="249"/>
      <c r="AQ21" s="249"/>
      <c r="AR21" s="249"/>
      <c r="AS21" s="249"/>
      <c r="AT21" s="249"/>
      <c r="AU21" s="249"/>
      <c r="AV21" s="249"/>
      <c r="AW21" s="249"/>
      <c r="AX21" s="249"/>
      <c r="AY21" s="249"/>
      <c r="AZ21" s="250"/>
      <c r="BA21" s="17"/>
      <c r="BB21" s="256"/>
      <c r="BC21" s="257"/>
      <c r="BD21" s="257"/>
      <c r="BE21" s="257"/>
      <c r="BF21" s="257"/>
      <c r="BG21" s="257"/>
      <c r="BH21" s="257"/>
      <c r="BI21" s="225"/>
      <c r="BJ21" s="226"/>
      <c r="BK21" s="16"/>
      <c r="BR21" s="18"/>
    </row>
    <row r="22" spans="3:83" ht="13.35" customHeight="1" x14ac:dyDescent="0.4">
      <c r="C22" s="14"/>
      <c r="D22" s="239"/>
      <c r="E22" s="240"/>
      <c r="F22" s="240"/>
      <c r="G22" s="240"/>
      <c r="H22" s="240"/>
      <c r="I22" s="240"/>
      <c r="J22" s="241"/>
      <c r="K22" s="239"/>
      <c r="L22" s="240"/>
      <c r="M22" s="240"/>
      <c r="N22" s="240"/>
      <c r="O22" s="240"/>
      <c r="P22" s="240"/>
      <c r="Q22" s="241"/>
      <c r="R22" s="239"/>
      <c r="S22" s="240"/>
      <c r="T22" s="240"/>
      <c r="U22" s="240"/>
      <c r="V22" s="240"/>
      <c r="W22" s="240"/>
      <c r="X22" s="241"/>
      <c r="Y22" s="251"/>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3"/>
      <c r="BA22" s="19"/>
      <c r="BB22" s="256"/>
      <c r="BC22" s="257"/>
      <c r="BD22" s="257"/>
      <c r="BE22" s="257"/>
      <c r="BF22" s="257"/>
      <c r="BG22" s="257"/>
      <c r="BH22" s="257"/>
      <c r="BI22" s="225"/>
      <c r="BJ22" s="226"/>
      <c r="BK22" s="16"/>
      <c r="BR22" s="18"/>
    </row>
    <row r="23" spans="3:83" ht="31.35" customHeight="1" x14ac:dyDescent="0.4">
      <c r="C23" s="14"/>
      <c r="D23" s="242"/>
      <c r="E23" s="243"/>
      <c r="F23" s="243"/>
      <c r="G23" s="243"/>
      <c r="H23" s="243"/>
      <c r="I23" s="243"/>
      <c r="J23" s="244"/>
      <c r="K23" s="242"/>
      <c r="L23" s="243"/>
      <c r="M23" s="243"/>
      <c r="N23" s="243"/>
      <c r="O23" s="243"/>
      <c r="P23" s="243"/>
      <c r="Q23" s="244"/>
      <c r="R23" s="242"/>
      <c r="S23" s="243"/>
      <c r="T23" s="243"/>
      <c r="U23" s="243"/>
      <c r="V23" s="243"/>
      <c r="W23" s="243"/>
      <c r="X23" s="244"/>
      <c r="Y23" s="260" t="s">
        <v>10</v>
      </c>
      <c r="Z23" s="261"/>
      <c r="AA23" s="261"/>
      <c r="AB23" s="261"/>
      <c r="AC23" s="261"/>
      <c r="AD23" s="261"/>
      <c r="AE23" s="262"/>
      <c r="AF23" s="260" t="s">
        <v>11</v>
      </c>
      <c r="AG23" s="261"/>
      <c r="AH23" s="261"/>
      <c r="AI23" s="261"/>
      <c r="AJ23" s="261"/>
      <c r="AK23" s="261"/>
      <c r="AL23" s="262"/>
      <c r="AM23" s="260" t="s">
        <v>12</v>
      </c>
      <c r="AN23" s="261"/>
      <c r="AO23" s="261"/>
      <c r="AP23" s="261"/>
      <c r="AQ23" s="261"/>
      <c r="AR23" s="261"/>
      <c r="AS23" s="262"/>
      <c r="AT23" s="260" t="s">
        <v>13</v>
      </c>
      <c r="AU23" s="261"/>
      <c r="AV23" s="261"/>
      <c r="AW23" s="261"/>
      <c r="AX23" s="261"/>
      <c r="AY23" s="261"/>
      <c r="AZ23" s="262"/>
      <c r="BA23" s="19"/>
      <c r="BB23" s="258"/>
      <c r="BC23" s="259"/>
      <c r="BD23" s="259"/>
      <c r="BE23" s="259"/>
      <c r="BF23" s="259"/>
      <c r="BG23" s="259"/>
      <c r="BH23" s="259"/>
      <c r="BI23" s="227"/>
      <c r="BJ23" s="228"/>
      <c r="BK23" s="16"/>
      <c r="BR23" s="18"/>
    </row>
    <row r="24" spans="3:83" ht="15.6" customHeight="1" x14ac:dyDescent="0.4">
      <c r="C24" s="14"/>
      <c r="D24" s="121" t="str">
        <f>IF([7]回答表!R41="○","○","")</f>
        <v/>
      </c>
      <c r="E24" s="122"/>
      <c r="F24" s="122"/>
      <c r="G24" s="122"/>
      <c r="H24" s="122"/>
      <c r="I24" s="122"/>
      <c r="J24" s="123"/>
      <c r="K24" s="121" t="str">
        <f>IF([7]回答表!R42="○","○","")</f>
        <v>○</v>
      </c>
      <c r="L24" s="122"/>
      <c r="M24" s="122"/>
      <c r="N24" s="122"/>
      <c r="O24" s="122"/>
      <c r="P24" s="122"/>
      <c r="Q24" s="123"/>
      <c r="R24" s="121" t="str">
        <f>IF([7]回答表!R43="○","○","")</f>
        <v/>
      </c>
      <c r="S24" s="122"/>
      <c r="T24" s="122"/>
      <c r="U24" s="122"/>
      <c r="V24" s="122"/>
      <c r="W24" s="122"/>
      <c r="X24" s="123"/>
      <c r="Y24" s="121" t="str">
        <f>IF([7]回答表!R44="○","○","")</f>
        <v>○</v>
      </c>
      <c r="Z24" s="122"/>
      <c r="AA24" s="122"/>
      <c r="AB24" s="122"/>
      <c r="AC24" s="122"/>
      <c r="AD24" s="122"/>
      <c r="AE24" s="123"/>
      <c r="AF24" s="121" t="str">
        <f>IF([7]回答表!R45="○","○","")</f>
        <v/>
      </c>
      <c r="AG24" s="122"/>
      <c r="AH24" s="122"/>
      <c r="AI24" s="122"/>
      <c r="AJ24" s="122"/>
      <c r="AK24" s="122"/>
      <c r="AL24" s="123"/>
      <c r="AM24" s="121" t="str">
        <f>IF([7]回答表!R46="○","○","")</f>
        <v/>
      </c>
      <c r="AN24" s="122"/>
      <c r="AO24" s="122"/>
      <c r="AP24" s="122"/>
      <c r="AQ24" s="122"/>
      <c r="AR24" s="122"/>
      <c r="AS24" s="123"/>
      <c r="AT24" s="121" t="str">
        <f>IF([7]回答表!R47="○","○","")</f>
        <v/>
      </c>
      <c r="AU24" s="122"/>
      <c r="AV24" s="122"/>
      <c r="AW24" s="122"/>
      <c r="AX24" s="122"/>
      <c r="AY24" s="122"/>
      <c r="AZ24" s="123"/>
      <c r="BA24" s="19"/>
      <c r="BB24" s="118" t="str">
        <f>IF([7]回答表!R48="○","○","")</f>
        <v/>
      </c>
      <c r="BC24" s="119"/>
      <c r="BD24" s="119"/>
      <c r="BE24" s="119"/>
      <c r="BF24" s="119"/>
      <c r="BG24" s="119"/>
      <c r="BH24" s="119"/>
      <c r="BI24" s="223"/>
      <c r="BJ24" s="224"/>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25"/>
      <c r="BJ25" s="226"/>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27"/>
      <c r="BJ26" s="228"/>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IF([7]回答表!X41="○","○","")</f>
        <v/>
      </c>
      <c r="O36" s="98"/>
      <c r="P36" s="98"/>
      <c r="Q36" s="99"/>
      <c r="R36" s="39"/>
      <c r="S36" s="39"/>
      <c r="T36" s="39"/>
      <c r="U36" s="106" t="str">
        <f>IF([7]回答表!X41="○",[7]回答表!B56,IF([7]回答表!AA41="○",[7]回答表!B76,""))</f>
        <v/>
      </c>
      <c r="V36" s="107"/>
      <c r="W36" s="107"/>
      <c r="X36" s="107"/>
      <c r="Y36" s="107"/>
      <c r="Z36" s="107"/>
      <c r="AA36" s="107"/>
      <c r="AB36" s="107"/>
      <c r="AC36" s="107"/>
      <c r="AD36" s="107"/>
      <c r="AE36" s="107"/>
      <c r="AF36" s="107"/>
      <c r="AG36" s="107"/>
      <c r="AH36" s="107"/>
      <c r="AI36" s="107"/>
      <c r="AJ36" s="108"/>
      <c r="AK36" s="50"/>
      <c r="AL36" s="50"/>
      <c r="AM36" s="229" t="s">
        <v>19</v>
      </c>
      <c r="AN36" s="229"/>
      <c r="AO36" s="229"/>
      <c r="AP36" s="229"/>
      <c r="AQ36" s="229"/>
      <c r="AR36" s="229"/>
      <c r="AS36" s="229"/>
      <c r="AT36" s="229"/>
      <c r="AU36" s="229" t="s">
        <v>20</v>
      </c>
      <c r="AV36" s="229"/>
      <c r="AW36" s="229"/>
      <c r="AX36" s="229"/>
      <c r="AY36" s="229"/>
      <c r="AZ36" s="229"/>
      <c r="BA36" s="229"/>
      <c r="BB36" s="229"/>
      <c r="BC36" s="40"/>
      <c r="BD36" s="35"/>
      <c r="BE36" s="115" t="str">
        <f>IF([7]回答表!X41="○",[7]回答表!S62,IF([7]回答表!AA41="○",[7]回答表!S82,""))</f>
        <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29"/>
      <c r="AN37" s="229"/>
      <c r="AO37" s="229"/>
      <c r="AP37" s="229"/>
      <c r="AQ37" s="229"/>
      <c r="AR37" s="229"/>
      <c r="AS37" s="229"/>
      <c r="AT37" s="229"/>
      <c r="AU37" s="229"/>
      <c r="AV37" s="229"/>
      <c r="AW37" s="229"/>
      <c r="AX37" s="229"/>
      <c r="AY37" s="229"/>
      <c r="AZ37" s="229"/>
      <c r="BA37" s="229"/>
      <c r="BB37" s="229"/>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IF([7]回答表!X41="○",[7]回答表!G62,IF([7]回答表!AA41="○",[7]回答表!G82,""))</f>
        <v/>
      </c>
      <c r="AN38" s="119"/>
      <c r="AO38" s="119"/>
      <c r="AP38" s="119"/>
      <c r="AQ38" s="119"/>
      <c r="AR38" s="119"/>
      <c r="AS38" s="119"/>
      <c r="AT38" s="120"/>
      <c r="AU38" s="118" t="str">
        <f>IF([7]回答表!X41="○",[7]回答表!G63,IF([7]回答表!AA41="○",[7]回答表!G83,""))</f>
        <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t="str">
        <f>IF([7]回答表!X41="○",[7]回答表!V62,IF([7]回答表!AA41="○",[7]回答表!V82,""))</f>
        <v/>
      </c>
      <c r="BF39" s="217"/>
      <c r="BG39" s="217"/>
      <c r="BH39" s="218"/>
      <c r="BI39" s="82" t="str">
        <f>IF([7]回答表!X41="○",[7]回答表!V63,IF([7]回答表!AA41="○",[7]回答表!V83,""))</f>
        <v/>
      </c>
      <c r="BJ39" s="217"/>
      <c r="BK39" s="217"/>
      <c r="BL39" s="218"/>
      <c r="BM39" s="82" t="str">
        <f>IF([7]回答表!X41="○",[7]回答表!V64,IF([7]回答表!AA41="○",[7]回答表!V84,""))</f>
        <v/>
      </c>
      <c r="BN39" s="217"/>
      <c r="BO39" s="217"/>
      <c r="BP39" s="218"/>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19"/>
      <c r="BF40" s="217"/>
      <c r="BG40" s="217"/>
      <c r="BH40" s="218"/>
      <c r="BI40" s="219"/>
      <c r="BJ40" s="217"/>
      <c r="BK40" s="217"/>
      <c r="BL40" s="218"/>
      <c r="BM40" s="219"/>
      <c r="BN40" s="217"/>
      <c r="BO40" s="217"/>
      <c r="BP40" s="218"/>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19"/>
      <c r="BF41" s="217"/>
      <c r="BG41" s="217"/>
      <c r="BH41" s="218"/>
      <c r="BI41" s="219"/>
      <c r="BJ41" s="217"/>
      <c r="BK41" s="217"/>
      <c r="BL41" s="218"/>
      <c r="BM41" s="219"/>
      <c r="BN41" s="217"/>
      <c r="BO41" s="217"/>
      <c r="BP41" s="218"/>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215" t="str">
        <f>IF([7]回答表!X41="○",[7]回答表!O68,IF([7]回答表!AA41="○",[7]回答表!O88,""))</f>
        <v/>
      </c>
      <c r="AN42" s="216"/>
      <c r="AO42" s="213" t="s">
        <v>21</v>
      </c>
      <c r="AP42" s="213"/>
      <c r="AQ42" s="213"/>
      <c r="AR42" s="213"/>
      <c r="AS42" s="213"/>
      <c r="AT42" s="213"/>
      <c r="AU42" s="213"/>
      <c r="AV42" s="213"/>
      <c r="AW42" s="213"/>
      <c r="AX42" s="213"/>
      <c r="AY42" s="213"/>
      <c r="AZ42" s="213"/>
      <c r="BA42" s="213"/>
      <c r="BB42" s="214"/>
      <c r="BC42" s="40"/>
      <c r="BD42" s="40"/>
      <c r="BE42" s="219"/>
      <c r="BF42" s="217"/>
      <c r="BG42" s="217"/>
      <c r="BH42" s="218"/>
      <c r="BI42" s="219"/>
      <c r="BJ42" s="217"/>
      <c r="BK42" s="217"/>
      <c r="BL42" s="218"/>
      <c r="BM42" s="219"/>
      <c r="BN42" s="217"/>
      <c r="BO42" s="217"/>
      <c r="BP42" s="218"/>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215" t="str">
        <f>IF([7]回答表!X41="○",[7]回答表!O69,IF([7]回答表!AA41="○",[7]回答表!O89,""))</f>
        <v/>
      </c>
      <c r="AN43" s="216"/>
      <c r="AO43" s="213" t="s">
        <v>22</v>
      </c>
      <c r="AP43" s="213"/>
      <c r="AQ43" s="213"/>
      <c r="AR43" s="213"/>
      <c r="AS43" s="213"/>
      <c r="AT43" s="213"/>
      <c r="AU43" s="213"/>
      <c r="AV43" s="213"/>
      <c r="AW43" s="213"/>
      <c r="AX43" s="213"/>
      <c r="AY43" s="213"/>
      <c r="AZ43" s="213"/>
      <c r="BA43" s="213"/>
      <c r="BB43" s="214"/>
      <c r="BC43" s="40"/>
      <c r="BD43" s="35"/>
      <c r="BE43" s="82" t="s">
        <v>23</v>
      </c>
      <c r="BF43" s="217"/>
      <c r="BG43" s="217"/>
      <c r="BH43" s="218"/>
      <c r="BI43" s="82" t="s">
        <v>24</v>
      </c>
      <c r="BJ43" s="217"/>
      <c r="BK43" s="217"/>
      <c r="BL43" s="218"/>
      <c r="BM43" s="82" t="s">
        <v>25</v>
      </c>
      <c r="BN43" s="217"/>
      <c r="BO43" s="217"/>
      <c r="BP43" s="218"/>
      <c r="BQ43" s="38"/>
      <c r="BR43" s="25"/>
    </row>
    <row r="44" spans="1:70" ht="15.6" customHeight="1" x14ac:dyDescent="0.4">
      <c r="A44" s="25"/>
      <c r="B44" s="25"/>
      <c r="C44" s="33"/>
      <c r="D44" s="140" t="s">
        <v>26</v>
      </c>
      <c r="E44" s="141"/>
      <c r="F44" s="141"/>
      <c r="G44" s="141"/>
      <c r="H44" s="141"/>
      <c r="I44" s="141"/>
      <c r="J44" s="141"/>
      <c r="K44" s="141"/>
      <c r="L44" s="141"/>
      <c r="M44" s="142"/>
      <c r="N44" s="97" t="str">
        <f>IF([7]回答表!AA41="○","○","")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215" t="str">
        <f>IF([7]回答表!X41="○",[7]回答表!O70,IF([7]回答表!AA41="○",[7]回答表!O90,""))</f>
        <v/>
      </c>
      <c r="AN44" s="216"/>
      <c r="AO44" s="213" t="s">
        <v>27</v>
      </c>
      <c r="AP44" s="213"/>
      <c r="AQ44" s="213"/>
      <c r="AR44" s="213"/>
      <c r="AS44" s="213"/>
      <c r="AT44" s="213"/>
      <c r="AU44" s="213"/>
      <c r="AV44" s="213"/>
      <c r="AW44" s="213"/>
      <c r="AX44" s="213"/>
      <c r="AY44" s="213"/>
      <c r="AZ44" s="213"/>
      <c r="BA44" s="213"/>
      <c r="BB44" s="214"/>
      <c r="BC44" s="40"/>
      <c r="BD44" s="54"/>
      <c r="BE44" s="219"/>
      <c r="BF44" s="217"/>
      <c r="BG44" s="217"/>
      <c r="BH44" s="218"/>
      <c r="BI44" s="219"/>
      <c r="BJ44" s="217"/>
      <c r="BK44" s="217"/>
      <c r="BL44" s="218"/>
      <c r="BM44" s="219"/>
      <c r="BN44" s="217"/>
      <c r="BO44" s="217"/>
      <c r="BP44" s="218"/>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215" t="str">
        <f>IF([7]回答表!X41="○",[7]回答表!O71,IF([7]回答表!AA41="○",[7]回答表!O91,""))</f>
        <v/>
      </c>
      <c r="AN45" s="216"/>
      <c r="AO45" s="213" t="s">
        <v>28</v>
      </c>
      <c r="AP45" s="213"/>
      <c r="AQ45" s="213"/>
      <c r="AR45" s="213"/>
      <c r="AS45" s="213"/>
      <c r="AT45" s="213"/>
      <c r="AU45" s="213"/>
      <c r="AV45" s="213"/>
      <c r="AW45" s="213"/>
      <c r="AX45" s="213"/>
      <c r="AY45" s="213"/>
      <c r="AZ45" s="213"/>
      <c r="BA45" s="213"/>
      <c r="BB45" s="214"/>
      <c r="BC45" s="40"/>
      <c r="BD45" s="54"/>
      <c r="BE45" s="220"/>
      <c r="BF45" s="221"/>
      <c r="BG45" s="221"/>
      <c r="BH45" s="222"/>
      <c r="BI45" s="220"/>
      <c r="BJ45" s="221"/>
      <c r="BK45" s="221"/>
      <c r="BL45" s="222"/>
      <c r="BM45" s="220"/>
      <c r="BN45" s="221"/>
      <c r="BO45" s="221"/>
      <c r="BP45" s="222"/>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215" t="str">
        <f>IF([7]回答表!X41="○",[7]回答表!AG68,IF([7]回答表!AA41="○",[7]回答表!AG88,""))</f>
        <v/>
      </c>
      <c r="AN46" s="216"/>
      <c r="AO46" s="213" t="s">
        <v>29</v>
      </c>
      <c r="AP46" s="213"/>
      <c r="AQ46" s="213"/>
      <c r="AR46" s="213"/>
      <c r="AS46" s="213"/>
      <c r="AT46" s="213"/>
      <c r="AU46" s="213"/>
      <c r="AV46" s="213"/>
      <c r="AW46" s="213"/>
      <c r="AX46" s="213"/>
      <c r="AY46" s="213"/>
      <c r="AZ46" s="213"/>
      <c r="BA46" s="213"/>
      <c r="BB46" s="214"/>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215" t="str">
        <f>IF([7]回答表!X41="○",[7]回答表!AG69,IF([7]回答表!AA41="○",[7]回答表!AG89,""))</f>
        <v/>
      </c>
      <c r="AN47" s="216"/>
      <c r="AO47" s="213" t="s">
        <v>30</v>
      </c>
      <c r="AP47" s="213"/>
      <c r="AQ47" s="213"/>
      <c r="AR47" s="213"/>
      <c r="AS47" s="213"/>
      <c r="AT47" s="213"/>
      <c r="AU47" s="213"/>
      <c r="AV47" s="213"/>
      <c r="AW47" s="213"/>
      <c r="AX47" s="213"/>
      <c r="AY47" s="213"/>
      <c r="AZ47" s="213"/>
      <c r="BA47" s="213"/>
      <c r="BB47" s="214"/>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215" t="str">
        <f>IF([7]回答表!X41="○",[7]回答表!AG70,IF([7]回答表!AA41="○",[7]回答表!AG90,""))</f>
        <v/>
      </c>
      <c r="AN48" s="216"/>
      <c r="AO48" s="213" t="s">
        <v>31</v>
      </c>
      <c r="AP48" s="213"/>
      <c r="AQ48" s="213"/>
      <c r="AR48" s="213"/>
      <c r="AS48" s="213"/>
      <c r="AT48" s="213"/>
      <c r="AU48" s="213"/>
      <c r="AV48" s="213"/>
      <c r="AW48" s="213"/>
      <c r="AX48" s="213"/>
      <c r="AY48" s="213"/>
      <c r="AZ48" s="213"/>
      <c r="BA48" s="213"/>
      <c r="BB48" s="214"/>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IF([7]回答表!AD41="○","○","")</f>
        <v/>
      </c>
      <c r="O52" s="98"/>
      <c r="P52" s="98"/>
      <c r="Q52" s="99"/>
      <c r="R52" s="39"/>
      <c r="S52" s="39"/>
      <c r="T52" s="39"/>
      <c r="U52" s="106" t="str">
        <f>IF([7]回答表!AD41="○",[7]回答表!B96,"")</f>
        <v/>
      </c>
      <c r="V52" s="107"/>
      <c r="W52" s="107"/>
      <c r="X52" s="107"/>
      <c r="Y52" s="107"/>
      <c r="Z52" s="107"/>
      <c r="AA52" s="107"/>
      <c r="AB52" s="107"/>
      <c r="AC52" s="107"/>
      <c r="AD52" s="107"/>
      <c r="AE52" s="107"/>
      <c r="AF52" s="107"/>
      <c r="AG52" s="107"/>
      <c r="AH52" s="107"/>
      <c r="AI52" s="107"/>
      <c r="AJ52" s="108"/>
      <c r="AK52" s="56"/>
      <c r="AL52" s="56"/>
      <c r="AM52" s="106" t="str">
        <f>IF([7]回答表!AD41="○",[7]回答表!B101,"")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IF([7]回答表!X42="○","○","")</f>
        <v/>
      </c>
      <c r="O63" s="98"/>
      <c r="P63" s="98"/>
      <c r="Q63" s="99"/>
      <c r="R63" s="39"/>
      <c r="S63" s="39"/>
      <c r="T63" s="39"/>
      <c r="U63" s="106" t="str">
        <f>IF([7]回答表!X42="○",[7]回答表!B111,IF([7]回答表!AA42="○",[7]回答表!B124,""))</f>
        <v/>
      </c>
      <c r="V63" s="107"/>
      <c r="W63" s="107"/>
      <c r="X63" s="107"/>
      <c r="Y63" s="107"/>
      <c r="Z63" s="107"/>
      <c r="AA63" s="107"/>
      <c r="AB63" s="107"/>
      <c r="AC63" s="107"/>
      <c r="AD63" s="107"/>
      <c r="AE63" s="107"/>
      <c r="AF63" s="107"/>
      <c r="AG63" s="107"/>
      <c r="AH63" s="107"/>
      <c r="AI63" s="107"/>
      <c r="AJ63" s="108"/>
      <c r="AK63" s="50"/>
      <c r="AL63" s="50"/>
      <c r="AM63" s="212" t="s">
        <v>37</v>
      </c>
      <c r="AN63" s="212"/>
      <c r="AO63" s="212"/>
      <c r="AP63" s="212"/>
      <c r="AQ63" s="212"/>
      <c r="AR63" s="212"/>
      <c r="AS63" s="212"/>
      <c r="AT63" s="212"/>
      <c r="AU63" s="212" t="s">
        <v>38</v>
      </c>
      <c r="AV63" s="212"/>
      <c r="AW63" s="212"/>
      <c r="AX63" s="212"/>
      <c r="AY63" s="212"/>
      <c r="AZ63" s="212"/>
      <c r="BA63" s="212"/>
      <c r="BB63" s="212"/>
      <c r="BC63" s="40"/>
      <c r="BD63" s="35"/>
      <c r="BE63" s="115" t="str">
        <f>IF([7]回答表!X42="○",[7]回答表!S117,IF([7]回答表!AA42="○",[7]回答表!S130,""))</f>
        <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212"/>
      <c r="AN64" s="212"/>
      <c r="AO64" s="212"/>
      <c r="AP64" s="212"/>
      <c r="AQ64" s="212"/>
      <c r="AR64" s="212"/>
      <c r="AS64" s="212"/>
      <c r="AT64" s="212"/>
      <c r="AU64" s="212"/>
      <c r="AV64" s="212"/>
      <c r="AW64" s="212"/>
      <c r="AX64" s="212"/>
      <c r="AY64" s="212"/>
      <c r="AZ64" s="212"/>
      <c r="BA64" s="212"/>
      <c r="BB64" s="212"/>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212"/>
      <c r="AN65" s="212"/>
      <c r="AO65" s="212"/>
      <c r="AP65" s="212"/>
      <c r="AQ65" s="212"/>
      <c r="AR65" s="212"/>
      <c r="AS65" s="212"/>
      <c r="AT65" s="212"/>
      <c r="AU65" s="212"/>
      <c r="AV65" s="212"/>
      <c r="AW65" s="212"/>
      <c r="AX65" s="212"/>
      <c r="AY65" s="212"/>
      <c r="AZ65" s="212"/>
      <c r="BA65" s="212"/>
      <c r="BB65" s="212"/>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IF([7]回答表!X42="○",[7]回答表!J117,IF([7]回答表!AA42="○",[7]回答表!J130,""))</f>
        <v/>
      </c>
      <c r="AN66" s="119"/>
      <c r="AO66" s="119"/>
      <c r="AP66" s="119"/>
      <c r="AQ66" s="119"/>
      <c r="AR66" s="119"/>
      <c r="AS66" s="119"/>
      <c r="AT66" s="120"/>
      <c r="AU66" s="118" t="str">
        <f>IF([7]回答表!X42="○",[7]回答表!J118,IF([7]回答表!AA42="○",[7]回答表!J131,""))</f>
        <v/>
      </c>
      <c r="AV66" s="119"/>
      <c r="AW66" s="119"/>
      <c r="AX66" s="119"/>
      <c r="AY66" s="119"/>
      <c r="AZ66" s="119"/>
      <c r="BA66" s="119"/>
      <c r="BB66" s="120"/>
      <c r="BC66" s="40"/>
      <c r="BD66" s="35"/>
      <c r="BE66" s="82" t="str">
        <f>IF([7]回答表!X42="○",[7]回答表!V117,IF([7]回答表!AA42="○",[7]回答表!V130,""))</f>
        <v/>
      </c>
      <c r="BF66" s="83"/>
      <c r="BG66" s="83"/>
      <c r="BH66" s="83"/>
      <c r="BI66" s="82" t="str">
        <f>IF([7]回答表!X42="○",[7]回答表!V118,IF([7]回答表!AA42="○",[7]回答表!V131,""))</f>
        <v/>
      </c>
      <c r="BJ66" s="83"/>
      <c r="BK66" s="83"/>
      <c r="BL66" s="83"/>
      <c r="BM66" s="82" t="str">
        <f>IF([7]回答表!X42="○",[7]回答表!V119,IF([7]回答表!AA42="○",[7]回答表!V132,""))</f>
        <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IF([7]回答表!AA42="○","○","")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IF([7]回答表!AD42="○","○","")</f>
        <v>○</v>
      </c>
      <c r="O75" s="98"/>
      <c r="P75" s="98"/>
      <c r="Q75" s="99"/>
      <c r="R75" s="39"/>
      <c r="S75" s="39"/>
      <c r="T75" s="39"/>
      <c r="U75" s="278" t="str">
        <f>IF([7]回答表!AD42="○",[7]回答表!B137,"")</f>
        <v>大館市介護保険事業計画第９期中で民間への譲渡も検討している。
公共施設等総合管理計画を策定し、議会へも報告、ホームページで公開済み。</v>
      </c>
      <c r="V75" s="279"/>
      <c r="W75" s="279"/>
      <c r="X75" s="279"/>
      <c r="Y75" s="279"/>
      <c r="Z75" s="279"/>
      <c r="AA75" s="279"/>
      <c r="AB75" s="279"/>
      <c r="AC75" s="279"/>
      <c r="AD75" s="279"/>
      <c r="AE75" s="279"/>
      <c r="AF75" s="279"/>
      <c r="AG75" s="279"/>
      <c r="AH75" s="279"/>
      <c r="AI75" s="279"/>
      <c r="AJ75" s="280"/>
      <c r="AK75" s="56"/>
      <c r="AL75" s="56"/>
      <c r="AM75" s="151" t="str">
        <f>IF([7]回答表!AD42="○",[7]回答表!B143,"")</f>
        <v>令和６年４月を目途に譲渡することで検討。
施設の老朽化もあり、経費が増大しないよう譲渡方法を検討している。</v>
      </c>
      <c r="AN75" s="152"/>
      <c r="AO75" s="152"/>
      <c r="AP75" s="152"/>
      <c r="AQ75" s="152"/>
      <c r="AR75" s="152"/>
      <c r="AS75" s="152"/>
      <c r="AT75" s="152"/>
      <c r="AU75" s="152"/>
      <c r="AV75" s="152"/>
      <c r="AW75" s="152"/>
      <c r="AX75" s="152"/>
      <c r="AY75" s="152"/>
      <c r="AZ75" s="152"/>
      <c r="BA75" s="152"/>
      <c r="BB75" s="152"/>
      <c r="BC75" s="152"/>
      <c r="BD75" s="152"/>
      <c r="BE75" s="152"/>
      <c r="BF75" s="152"/>
      <c r="BG75" s="152"/>
      <c r="BH75" s="152"/>
      <c r="BI75" s="152"/>
      <c r="BJ75" s="152"/>
      <c r="BK75" s="152"/>
      <c r="BL75" s="152"/>
      <c r="BM75" s="152"/>
      <c r="BN75" s="152"/>
      <c r="BO75" s="152"/>
      <c r="BP75" s="153"/>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281"/>
      <c r="V76" s="282"/>
      <c r="W76" s="282"/>
      <c r="X76" s="282"/>
      <c r="Y76" s="282"/>
      <c r="Z76" s="282"/>
      <c r="AA76" s="282"/>
      <c r="AB76" s="282"/>
      <c r="AC76" s="282"/>
      <c r="AD76" s="282"/>
      <c r="AE76" s="282"/>
      <c r="AF76" s="282"/>
      <c r="AG76" s="282"/>
      <c r="AH76" s="282"/>
      <c r="AI76" s="282"/>
      <c r="AJ76" s="283"/>
      <c r="AK76" s="56"/>
      <c r="AL76" s="56"/>
      <c r="AM76" s="154"/>
      <c r="AN76" s="155"/>
      <c r="AO76" s="155"/>
      <c r="AP76" s="155"/>
      <c r="AQ76" s="155"/>
      <c r="AR76" s="155"/>
      <c r="AS76" s="155"/>
      <c r="AT76" s="155"/>
      <c r="AU76" s="155"/>
      <c r="AV76" s="155"/>
      <c r="AW76" s="155"/>
      <c r="AX76" s="155"/>
      <c r="AY76" s="155"/>
      <c r="AZ76" s="155"/>
      <c r="BA76" s="155"/>
      <c r="BB76" s="155"/>
      <c r="BC76" s="155"/>
      <c r="BD76" s="155"/>
      <c r="BE76" s="155"/>
      <c r="BF76" s="155"/>
      <c r="BG76" s="155"/>
      <c r="BH76" s="155"/>
      <c r="BI76" s="155"/>
      <c r="BJ76" s="155"/>
      <c r="BK76" s="155"/>
      <c r="BL76" s="155"/>
      <c r="BM76" s="155"/>
      <c r="BN76" s="155"/>
      <c r="BO76" s="155"/>
      <c r="BP76" s="156"/>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281"/>
      <c r="V77" s="282"/>
      <c r="W77" s="282"/>
      <c r="X77" s="282"/>
      <c r="Y77" s="282"/>
      <c r="Z77" s="282"/>
      <c r="AA77" s="282"/>
      <c r="AB77" s="282"/>
      <c r="AC77" s="282"/>
      <c r="AD77" s="282"/>
      <c r="AE77" s="282"/>
      <c r="AF77" s="282"/>
      <c r="AG77" s="282"/>
      <c r="AH77" s="282"/>
      <c r="AI77" s="282"/>
      <c r="AJ77" s="283"/>
      <c r="AK77" s="56"/>
      <c r="AL77" s="56"/>
      <c r="AM77" s="154"/>
      <c r="AN77" s="155"/>
      <c r="AO77" s="155"/>
      <c r="AP77" s="155"/>
      <c r="AQ77" s="155"/>
      <c r="AR77" s="155"/>
      <c r="AS77" s="155"/>
      <c r="AT77" s="155"/>
      <c r="AU77" s="155"/>
      <c r="AV77" s="155"/>
      <c r="AW77" s="155"/>
      <c r="AX77" s="155"/>
      <c r="AY77" s="155"/>
      <c r="AZ77" s="155"/>
      <c r="BA77" s="155"/>
      <c r="BB77" s="155"/>
      <c r="BC77" s="155"/>
      <c r="BD77" s="155"/>
      <c r="BE77" s="155"/>
      <c r="BF77" s="155"/>
      <c r="BG77" s="155"/>
      <c r="BH77" s="155"/>
      <c r="BI77" s="155"/>
      <c r="BJ77" s="155"/>
      <c r="BK77" s="155"/>
      <c r="BL77" s="155"/>
      <c r="BM77" s="155"/>
      <c r="BN77" s="155"/>
      <c r="BO77" s="155"/>
      <c r="BP77" s="156"/>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284"/>
      <c r="V78" s="285"/>
      <c r="W78" s="285"/>
      <c r="X78" s="285"/>
      <c r="Y78" s="285"/>
      <c r="Z78" s="285"/>
      <c r="AA78" s="285"/>
      <c r="AB78" s="285"/>
      <c r="AC78" s="285"/>
      <c r="AD78" s="285"/>
      <c r="AE78" s="285"/>
      <c r="AF78" s="285"/>
      <c r="AG78" s="285"/>
      <c r="AH78" s="285"/>
      <c r="AI78" s="285"/>
      <c r="AJ78" s="286"/>
      <c r="AK78" s="56"/>
      <c r="AL78" s="56"/>
      <c r="AM78" s="157"/>
      <c r="AN78" s="158"/>
      <c r="AO78" s="158"/>
      <c r="AP78" s="158"/>
      <c r="AQ78" s="158"/>
      <c r="AR78" s="158"/>
      <c r="AS78" s="158"/>
      <c r="AT78" s="158"/>
      <c r="AU78" s="158"/>
      <c r="AV78" s="158"/>
      <c r="AW78" s="158"/>
      <c r="AX78" s="158"/>
      <c r="AY78" s="158"/>
      <c r="AZ78" s="158"/>
      <c r="BA78" s="158"/>
      <c r="BB78" s="158"/>
      <c r="BC78" s="158"/>
      <c r="BD78" s="158"/>
      <c r="BE78" s="158"/>
      <c r="BF78" s="158"/>
      <c r="BG78" s="158"/>
      <c r="BH78" s="158"/>
      <c r="BI78" s="158"/>
      <c r="BJ78" s="158"/>
      <c r="BK78" s="158"/>
      <c r="BL78" s="158"/>
      <c r="BM78" s="158"/>
      <c r="BN78" s="158"/>
      <c r="BO78" s="158"/>
      <c r="BP78" s="159"/>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62"/>
      <c r="AS81" s="162"/>
      <c r="AT81" s="162"/>
      <c r="AU81" s="162"/>
      <c r="AV81" s="162"/>
      <c r="AW81" s="162"/>
      <c r="AX81" s="162"/>
      <c r="AY81" s="162"/>
      <c r="AZ81" s="162"/>
      <c r="BA81" s="162"/>
      <c r="BB81" s="162"/>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87"/>
      <c r="AS82" s="187"/>
      <c r="AT82" s="187"/>
      <c r="AU82" s="187"/>
      <c r="AV82" s="187"/>
      <c r="AW82" s="187"/>
      <c r="AX82" s="187"/>
      <c r="AY82" s="187"/>
      <c r="AZ82" s="187"/>
      <c r="BA82" s="187"/>
      <c r="BB82" s="187"/>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81" t="s">
        <v>18</v>
      </c>
      <c r="E87" s="181"/>
      <c r="F87" s="181"/>
      <c r="G87" s="181"/>
      <c r="H87" s="181"/>
      <c r="I87" s="181"/>
      <c r="J87" s="181"/>
      <c r="K87" s="181"/>
      <c r="L87" s="181"/>
      <c r="M87" s="181"/>
      <c r="N87" s="97" t="str">
        <f>IF([7]回答表!F17="水道事業",IF([7]回答表!X43="○","○",""),"")</f>
        <v/>
      </c>
      <c r="O87" s="98"/>
      <c r="P87" s="98"/>
      <c r="Q87" s="99"/>
      <c r="R87" s="39"/>
      <c r="S87" s="39"/>
      <c r="T87" s="39"/>
      <c r="U87" s="188" t="s">
        <v>41</v>
      </c>
      <c r="V87" s="189"/>
      <c r="W87" s="189"/>
      <c r="X87" s="189"/>
      <c r="Y87" s="189"/>
      <c r="Z87" s="189"/>
      <c r="AA87" s="189"/>
      <c r="AB87" s="189"/>
      <c r="AC87" s="188" t="s">
        <v>42</v>
      </c>
      <c r="AD87" s="189"/>
      <c r="AE87" s="189"/>
      <c r="AF87" s="189"/>
      <c r="AG87" s="189"/>
      <c r="AH87" s="189"/>
      <c r="AI87" s="189"/>
      <c r="AJ87" s="198"/>
      <c r="AK87" s="50"/>
      <c r="AL87" s="50"/>
      <c r="AM87" s="106" t="str">
        <f>IF([7]回答表!F17="水道事業",IF([7]回答表!X43="○",[7]回答表!B154,IF([7]回答表!AA43="○",[7]回答表!B201,"")),"")</f>
        <v/>
      </c>
      <c r="AN87" s="107"/>
      <c r="AO87" s="107"/>
      <c r="AP87" s="107"/>
      <c r="AQ87" s="107"/>
      <c r="AR87" s="107"/>
      <c r="AS87" s="107"/>
      <c r="AT87" s="107"/>
      <c r="AU87" s="107"/>
      <c r="AV87" s="107"/>
      <c r="AW87" s="107"/>
      <c r="AX87" s="107"/>
      <c r="AY87" s="107"/>
      <c r="AZ87" s="107"/>
      <c r="BA87" s="107"/>
      <c r="BB87" s="108"/>
      <c r="BC87" s="40"/>
      <c r="BD87" s="35"/>
      <c r="BE87" s="115" t="str">
        <f>IF([7]回答表!F17="水道事業",IF([7]回答表!X43="○",[7]回答表!B190,IF([7]回答表!AA43="○",[7]回答表!B238,"")),"")</f>
        <v/>
      </c>
      <c r="BF87" s="116"/>
      <c r="BG87" s="116"/>
      <c r="BH87" s="116"/>
      <c r="BI87" s="115"/>
      <c r="BJ87" s="116"/>
      <c r="BK87" s="116"/>
      <c r="BL87" s="116"/>
      <c r="BM87" s="115"/>
      <c r="BN87" s="116"/>
      <c r="BO87" s="116"/>
      <c r="BP87" s="117"/>
      <c r="BQ87" s="38"/>
    </row>
    <row r="88" spans="3:69" ht="19.350000000000001" customHeight="1" x14ac:dyDescent="0.4">
      <c r="C88" s="33"/>
      <c r="D88" s="181"/>
      <c r="E88" s="181"/>
      <c r="F88" s="181"/>
      <c r="G88" s="181"/>
      <c r="H88" s="181"/>
      <c r="I88" s="181"/>
      <c r="J88" s="181"/>
      <c r="K88" s="181"/>
      <c r="L88" s="181"/>
      <c r="M88" s="181"/>
      <c r="N88" s="100"/>
      <c r="O88" s="101"/>
      <c r="P88" s="101"/>
      <c r="Q88" s="102"/>
      <c r="R88" s="39"/>
      <c r="S88" s="39"/>
      <c r="T88" s="39"/>
      <c r="U88" s="190"/>
      <c r="V88" s="191"/>
      <c r="W88" s="191"/>
      <c r="X88" s="191"/>
      <c r="Y88" s="191"/>
      <c r="Z88" s="191"/>
      <c r="AA88" s="191"/>
      <c r="AB88" s="191"/>
      <c r="AC88" s="190"/>
      <c r="AD88" s="191"/>
      <c r="AE88" s="191"/>
      <c r="AF88" s="191"/>
      <c r="AG88" s="191"/>
      <c r="AH88" s="191"/>
      <c r="AI88" s="191"/>
      <c r="AJ88" s="199"/>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81"/>
      <c r="E89" s="181"/>
      <c r="F89" s="181"/>
      <c r="G89" s="181"/>
      <c r="H89" s="181"/>
      <c r="I89" s="181"/>
      <c r="J89" s="181"/>
      <c r="K89" s="181"/>
      <c r="L89" s="181"/>
      <c r="M89" s="181"/>
      <c r="N89" s="100"/>
      <c r="O89" s="101"/>
      <c r="P89" s="101"/>
      <c r="Q89" s="102"/>
      <c r="R89" s="39"/>
      <c r="S89" s="39"/>
      <c r="T89" s="39"/>
      <c r="U89" s="118" t="str">
        <f>IF([7]回答表!F17="水道事業",IF([7]回答表!X43="○",[7]回答表!J162,IF([7]回答表!AA43="○",[7]回答表!J209,"")),"")</f>
        <v/>
      </c>
      <c r="V89" s="119"/>
      <c r="W89" s="119"/>
      <c r="X89" s="119"/>
      <c r="Y89" s="119"/>
      <c r="Z89" s="119"/>
      <c r="AA89" s="119"/>
      <c r="AB89" s="120"/>
      <c r="AC89" s="118" t="str">
        <f>IF([7]回答表!F17="水道事業",IF([7]回答表!X43="○",[7]回答表!J169,IF([7]回答表!AA43="○",[7]回答表!J216,"")),"")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81"/>
      <c r="E90" s="181"/>
      <c r="F90" s="181"/>
      <c r="G90" s="181"/>
      <c r="H90" s="181"/>
      <c r="I90" s="181"/>
      <c r="J90" s="181"/>
      <c r="K90" s="181"/>
      <c r="L90" s="181"/>
      <c r="M90" s="181"/>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IF([7]回答表!F17="水道事業",IF([7]回答表!X43="○",[7]回答表!E190,IF([7]回答表!AA43="○",[7]回答表!E238,"")),"")</f>
        <v/>
      </c>
      <c r="BF90" s="83"/>
      <c r="BG90" s="83"/>
      <c r="BH90" s="83"/>
      <c r="BI90" s="82" t="str">
        <f>IF([7]回答表!F17="水道事業",IF([7]回答表!X43="○",[7]回答表!E191,IF([7]回答表!AA43="○",[7]回答表!E239,"")),"")</f>
        <v/>
      </c>
      <c r="BJ90" s="83"/>
      <c r="BK90" s="83"/>
      <c r="BL90" s="83"/>
      <c r="BM90" s="82" t="str">
        <f>IF([7]回答表!F17="水道事業",IF([7]回答表!X43="○",[7]回答表!E192,IF([7]回答表!AA43="○",[7]回答表!E240,"")),"")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88" t="s">
        <v>43</v>
      </c>
      <c r="V92" s="189"/>
      <c r="W92" s="189"/>
      <c r="X92" s="189"/>
      <c r="Y92" s="189"/>
      <c r="Z92" s="189"/>
      <c r="AA92" s="189"/>
      <c r="AB92" s="189"/>
      <c r="AC92" s="188" t="s">
        <v>44</v>
      </c>
      <c r="AD92" s="189"/>
      <c r="AE92" s="189"/>
      <c r="AF92" s="189"/>
      <c r="AG92" s="189"/>
      <c r="AH92" s="189"/>
      <c r="AI92" s="189"/>
      <c r="AJ92" s="198"/>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86" t="s">
        <v>26</v>
      </c>
      <c r="E93" s="181"/>
      <c r="F93" s="181"/>
      <c r="G93" s="181"/>
      <c r="H93" s="181"/>
      <c r="I93" s="181"/>
      <c r="J93" s="181"/>
      <c r="K93" s="181"/>
      <c r="L93" s="181"/>
      <c r="M93" s="182"/>
      <c r="N93" s="97" t="str">
        <f>IF([7]回答表!F17="水道事業",IF([7]回答表!AA43="○","○",""),"")</f>
        <v/>
      </c>
      <c r="O93" s="98"/>
      <c r="P93" s="98"/>
      <c r="Q93" s="99"/>
      <c r="R93" s="39"/>
      <c r="S93" s="39"/>
      <c r="T93" s="39"/>
      <c r="U93" s="190"/>
      <c r="V93" s="191"/>
      <c r="W93" s="191"/>
      <c r="X93" s="191"/>
      <c r="Y93" s="191"/>
      <c r="Z93" s="191"/>
      <c r="AA93" s="191"/>
      <c r="AB93" s="191"/>
      <c r="AC93" s="190"/>
      <c r="AD93" s="191"/>
      <c r="AE93" s="191"/>
      <c r="AF93" s="191"/>
      <c r="AG93" s="191"/>
      <c r="AH93" s="191"/>
      <c r="AI93" s="191"/>
      <c r="AJ93" s="199"/>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81"/>
      <c r="E94" s="181"/>
      <c r="F94" s="181"/>
      <c r="G94" s="181"/>
      <c r="H94" s="181"/>
      <c r="I94" s="181"/>
      <c r="J94" s="181"/>
      <c r="K94" s="181"/>
      <c r="L94" s="181"/>
      <c r="M94" s="182"/>
      <c r="N94" s="100"/>
      <c r="O94" s="101"/>
      <c r="P94" s="101"/>
      <c r="Q94" s="102"/>
      <c r="R94" s="39"/>
      <c r="S94" s="39"/>
      <c r="T94" s="39"/>
      <c r="U94" s="118" t="str">
        <f>IF([7]回答表!F17="水道事業",IF([7]回答表!X43="○",[7]回答表!J172,IF([7]回答表!AA43="○",[7]回答表!J219,"")),"")</f>
        <v/>
      </c>
      <c r="V94" s="119"/>
      <c r="W94" s="119"/>
      <c r="X94" s="119"/>
      <c r="Y94" s="119"/>
      <c r="Z94" s="119"/>
      <c r="AA94" s="119"/>
      <c r="AB94" s="120"/>
      <c r="AC94" s="118" t="str">
        <f>IF([7]回答表!F17="水道事業",IF([7]回答表!X43="○",[7]回答表!J176,IF([7]回答表!AA43="○",[7]回答表!J223,"")),"")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81"/>
      <c r="E95" s="181"/>
      <c r="F95" s="181"/>
      <c r="G95" s="181"/>
      <c r="H95" s="181"/>
      <c r="I95" s="181"/>
      <c r="J95" s="181"/>
      <c r="K95" s="181"/>
      <c r="L95" s="181"/>
      <c r="M95" s="182"/>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81"/>
      <c r="E96" s="181"/>
      <c r="F96" s="181"/>
      <c r="G96" s="181"/>
      <c r="H96" s="181"/>
      <c r="I96" s="181"/>
      <c r="J96" s="181"/>
      <c r="K96" s="181"/>
      <c r="L96" s="181"/>
      <c r="M96" s="182"/>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81" t="s">
        <v>34</v>
      </c>
      <c r="E99" s="181"/>
      <c r="F99" s="181"/>
      <c r="G99" s="181"/>
      <c r="H99" s="181"/>
      <c r="I99" s="181"/>
      <c r="J99" s="181"/>
      <c r="K99" s="181"/>
      <c r="L99" s="181"/>
      <c r="M99" s="182"/>
      <c r="N99" s="97" t="str">
        <f>IF([7]回答表!F17="水道事業",IF([7]回答表!AD43="○","○",""),"")</f>
        <v/>
      </c>
      <c r="O99" s="98"/>
      <c r="P99" s="98"/>
      <c r="Q99" s="99"/>
      <c r="R99" s="39"/>
      <c r="S99" s="39"/>
      <c r="T99" s="39"/>
      <c r="U99" s="106" t="str">
        <f>IF([7]回答表!F17="水道事業",IF([7]回答表!AD43="○",[7]回答表!B249,""),"")</f>
        <v/>
      </c>
      <c r="V99" s="107"/>
      <c r="W99" s="107"/>
      <c r="X99" s="107"/>
      <c r="Y99" s="107"/>
      <c r="Z99" s="107"/>
      <c r="AA99" s="107"/>
      <c r="AB99" s="107"/>
      <c r="AC99" s="107"/>
      <c r="AD99" s="107"/>
      <c r="AE99" s="107"/>
      <c r="AF99" s="107"/>
      <c r="AG99" s="107"/>
      <c r="AH99" s="107"/>
      <c r="AI99" s="107"/>
      <c r="AJ99" s="108"/>
      <c r="AK99" s="56"/>
      <c r="AL99" s="56"/>
      <c r="AM99" s="106" t="str">
        <f>IF([7]回答表!F17="水道事業",IF([7]回答表!AD43="○",[7]回答表!B255,""),"")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81"/>
      <c r="E100" s="181"/>
      <c r="F100" s="181"/>
      <c r="G100" s="181"/>
      <c r="H100" s="181"/>
      <c r="I100" s="181"/>
      <c r="J100" s="181"/>
      <c r="K100" s="181"/>
      <c r="L100" s="181"/>
      <c r="M100" s="182"/>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81"/>
      <c r="E101" s="181"/>
      <c r="F101" s="181"/>
      <c r="G101" s="181"/>
      <c r="H101" s="181"/>
      <c r="I101" s="181"/>
      <c r="J101" s="181"/>
      <c r="K101" s="181"/>
      <c r="L101" s="181"/>
      <c r="M101" s="182"/>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81"/>
      <c r="E102" s="181"/>
      <c r="F102" s="181"/>
      <c r="G102" s="181"/>
      <c r="H102" s="181"/>
      <c r="I102" s="181"/>
      <c r="J102" s="181"/>
      <c r="K102" s="181"/>
      <c r="L102" s="181"/>
      <c r="M102" s="182"/>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62"/>
      <c r="AS105" s="162"/>
      <c r="AT105" s="162"/>
      <c r="AU105" s="162"/>
      <c r="AV105" s="162"/>
      <c r="AW105" s="162"/>
      <c r="AX105" s="162"/>
      <c r="AY105" s="162"/>
      <c r="AZ105" s="162"/>
      <c r="BA105" s="162"/>
      <c r="BB105" s="162"/>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87"/>
      <c r="AS106" s="187"/>
      <c r="AT106" s="187"/>
      <c r="AU106" s="187"/>
      <c r="AV106" s="187"/>
      <c r="AW106" s="187"/>
      <c r="AX106" s="187"/>
      <c r="AY106" s="187"/>
      <c r="AZ106" s="187"/>
      <c r="BA106" s="187"/>
      <c r="BB106" s="187"/>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81" t="s">
        <v>18</v>
      </c>
      <c r="E111" s="181"/>
      <c r="F111" s="181"/>
      <c r="G111" s="181"/>
      <c r="H111" s="181"/>
      <c r="I111" s="181"/>
      <c r="J111" s="181"/>
      <c r="K111" s="181"/>
      <c r="L111" s="181"/>
      <c r="M111" s="181"/>
      <c r="N111" s="97" t="str">
        <f>IF([7]回答表!F17="簡易水道事業",IF([7]回答表!X43="○","○",""),"")</f>
        <v/>
      </c>
      <c r="O111" s="98"/>
      <c r="P111" s="98"/>
      <c r="Q111" s="99"/>
      <c r="R111" s="39"/>
      <c r="S111" s="39"/>
      <c r="T111" s="39"/>
      <c r="U111" s="188" t="s">
        <v>46</v>
      </c>
      <c r="V111" s="189"/>
      <c r="W111" s="189"/>
      <c r="X111" s="189"/>
      <c r="Y111" s="189"/>
      <c r="Z111" s="189"/>
      <c r="AA111" s="189"/>
      <c r="AB111" s="189"/>
      <c r="AC111" s="189"/>
      <c r="AD111" s="189"/>
      <c r="AE111" s="189"/>
      <c r="AF111" s="189"/>
      <c r="AG111" s="189"/>
      <c r="AH111" s="189"/>
      <c r="AI111" s="189"/>
      <c r="AJ111" s="198"/>
      <c r="AK111" s="50"/>
      <c r="AL111" s="50"/>
      <c r="AM111" s="106" t="str">
        <f>IF([7]回答表!F17="簡易水道事業",IF([7]回答表!X43="○",[7]回答表!B154,IF([7]回答表!AA43="○",[7]回答表!B201,"")),"")</f>
        <v/>
      </c>
      <c r="AN111" s="107"/>
      <c r="AO111" s="107"/>
      <c r="AP111" s="107"/>
      <c r="AQ111" s="107"/>
      <c r="AR111" s="107"/>
      <c r="AS111" s="107"/>
      <c r="AT111" s="107"/>
      <c r="AU111" s="107"/>
      <c r="AV111" s="107"/>
      <c r="AW111" s="107"/>
      <c r="AX111" s="107"/>
      <c r="AY111" s="107"/>
      <c r="AZ111" s="107"/>
      <c r="BA111" s="107"/>
      <c r="BB111" s="108"/>
      <c r="BC111" s="40"/>
      <c r="BD111" s="35"/>
      <c r="BE111" s="115" t="str">
        <f>IF([7]回答表!F17="簡易水道事業",IF([7]回答表!X43="○",[7]回答表!B190,IF([7]回答表!AA43="○",[7]回答表!B238,"")),"")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81"/>
      <c r="E112" s="181"/>
      <c r="F112" s="181"/>
      <c r="G112" s="181"/>
      <c r="H112" s="181"/>
      <c r="I112" s="181"/>
      <c r="J112" s="181"/>
      <c r="K112" s="181"/>
      <c r="L112" s="181"/>
      <c r="M112" s="181"/>
      <c r="N112" s="100"/>
      <c r="O112" s="101"/>
      <c r="P112" s="101"/>
      <c r="Q112" s="102"/>
      <c r="R112" s="39"/>
      <c r="S112" s="39"/>
      <c r="T112" s="39"/>
      <c r="U112" s="200"/>
      <c r="V112" s="201"/>
      <c r="W112" s="201"/>
      <c r="X112" s="201"/>
      <c r="Y112" s="201"/>
      <c r="Z112" s="201"/>
      <c r="AA112" s="201"/>
      <c r="AB112" s="201"/>
      <c r="AC112" s="201"/>
      <c r="AD112" s="201"/>
      <c r="AE112" s="201"/>
      <c r="AF112" s="201"/>
      <c r="AG112" s="201"/>
      <c r="AH112" s="201"/>
      <c r="AI112" s="201"/>
      <c r="AJ112" s="202"/>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81"/>
      <c r="E113" s="181"/>
      <c r="F113" s="181"/>
      <c r="G113" s="181"/>
      <c r="H113" s="181"/>
      <c r="I113" s="181"/>
      <c r="J113" s="181"/>
      <c r="K113" s="181"/>
      <c r="L113" s="181"/>
      <c r="M113" s="181"/>
      <c r="N113" s="100"/>
      <c r="O113" s="101"/>
      <c r="P113" s="101"/>
      <c r="Q113" s="102"/>
      <c r="R113" s="39"/>
      <c r="S113" s="39"/>
      <c r="T113" s="39"/>
      <c r="U113" s="118" t="str">
        <f>IF([7]回答表!F17="簡易水道事業",IF([7]回答表!X43="○",[7]回答表!Y181,IF([7]回答表!AA43="○",[7]回答表!Y229,"")),"")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81"/>
      <c r="E114" s="181"/>
      <c r="F114" s="181"/>
      <c r="G114" s="181"/>
      <c r="H114" s="181"/>
      <c r="I114" s="181"/>
      <c r="J114" s="181"/>
      <c r="K114" s="181"/>
      <c r="L114" s="181"/>
      <c r="M114" s="181"/>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IF([7]回答表!F17="簡易水道事業",IF([7]回答表!X43="○",[7]回答表!E190,IF([7]回答表!AA43="○",[7]回答表!E238,"")),"")</f>
        <v/>
      </c>
      <c r="BF114" s="83"/>
      <c r="BG114" s="83"/>
      <c r="BH114" s="83"/>
      <c r="BI114" s="82" t="str">
        <f>IF([7]回答表!F17="簡易水道事業",IF([7]回答表!X43="○",[7]回答表!E191,IF([7]回答表!AA43="○",[7]回答表!E239,"")),"")</f>
        <v/>
      </c>
      <c r="BJ114" s="83"/>
      <c r="BK114" s="83"/>
      <c r="BL114" s="83"/>
      <c r="BM114" s="82" t="str">
        <f>IF([7]回答表!F17="簡易水道事業",IF([7]回答表!X43="○",[7]回答表!E192,IF([7]回答表!AA43="○",[7]回答表!E240,"")),"")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88" t="s">
        <v>47</v>
      </c>
      <c r="V116" s="189"/>
      <c r="W116" s="189"/>
      <c r="X116" s="189"/>
      <c r="Y116" s="189"/>
      <c r="Z116" s="189"/>
      <c r="AA116" s="189"/>
      <c r="AB116" s="189"/>
      <c r="AC116" s="189"/>
      <c r="AD116" s="189"/>
      <c r="AE116" s="189"/>
      <c r="AF116" s="189"/>
      <c r="AG116" s="189"/>
      <c r="AH116" s="189"/>
      <c r="AI116" s="189"/>
      <c r="AJ116" s="198"/>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86" t="s">
        <v>26</v>
      </c>
      <c r="E117" s="181"/>
      <c r="F117" s="181"/>
      <c r="G117" s="181"/>
      <c r="H117" s="181"/>
      <c r="I117" s="181"/>
      <c r="J117" s="181"/>
      <c r="K117" s="181"/>
      <c r="L117" s="181"/>
      <c r="M117" s="182"/>
      <c r="N117" s="97" t="str">
        <f>IF([7]回答表!F17="簡易水道事業",IF([7]回答表!AA43="○","○",""),"")</f>
        <v/>
      </c>
      <c r="O117" s="98"/>
      <c r="P117" s="98"/>
      <c r="Q117" s="99"/>
      <c r="R117" s="39"/>
      <c r="S117" s="39"/>
      <c r="T117" s="39"/>
      <c r="U117" s="200"/>
      <c r="V117" s="201"/>
      <c r="W117" s="201"/>
      <c r="X117" s="201"/>
      <c r="Y117" s="201"/>
      <c r="Z117" s="201"/>
      <c r="AA117" s="201"/>
      <c r="AB117" s="201"/>
      <c r="AC117" s="201"/>
      <c r="AD117" s="201"/>
      <c r="AE117" s="201"/>
      <c r="AF117" s="201"/>
      <c r="AG117" s="201"/>
      <c r="AH117" s="201"/>
      <c r="AI117" s="201"/>
      <c r="AJ117" s="202"/>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81"/>
      <c r="E118" s="181"/>
      <c r="F118" s="181"/>
      <c r="G118" s="181"/>
      <c r="H118" s="181"/>
      <c r="I118" s="181"/>
      <c r="J118" s="181"/>
      <c r="K118" s="181"/>
      <c r="L118" s="181"/>
      <c r="M118" s="182"/>
      <c r="N118" s="100"/>
      <c r="O118" s="101"/>
      <c r="P118" s="101"/>
      <c r="Q118" s="102"/>
      <c r="R118" s="39"/>
      <c r="S118" s="39"/>
      <c r="T118" s="39"/>
      <c r="U118" s="118" t="str">
        <f>IF([7]回答表!F17="簡易水道事業",IF([7]回答表!X43="○",[7]回答表!Y182,IF([7]回答表!AA43="○",[7]回答表!Y230,"")),"")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81"/>
      <c r="E119" s="181"/>
      <c r="F119" s="181"/>
      <c r="G119" s="181"/>
      <c r="H119" s="181"/>
      <c r="I119" s="181"/>
      <c r="J119" s="181"/>
      <c r="K119" s="181"/>
      <c r="L119" s="181"/>
      <c r="M119" s="182"/>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81"/>
      <c r="E120" s="181"/>
      <c r="F120" s="181"/>
      <c r="G120" s="181"/>
      <c r="H120" s="181"/>
      <c r="I120" s="181"/>
      <c r="J120" s="181"/>
      <c r="K120" s="181"/>
      <c r="L120" s="181"/>
      <c r="M120" s="182"/>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81" t="s">
        <v>34</v>
      </c>
      <c r="E123" s="181"/>
      <c r="F123" s="181"/>
      <c r="G123" s="181"/>
      <c r="H123" s="181"/>
      <c r="I123" s="181"/>
      <c r="J123" s="181"/>
      <c r="K123" s="181"/>
      <c r="L123" s="181"/>
      <c r="M123" s="182"/>
      <c r="N123" s="97" t="str">
        <f>IF([7]回答表!F17="簡易水道事業",IF([7]回答表!AD43="○","○",""),"")</f>
        <v/>
      </c>
      <c r="O123" s="98"/>
      <c r="P123" s="98"/>
      <c r="Q123" s="99"/>
      <c r="R123" s="39"/>
      <c r="S123" s="39"/>
      <c r="T123" s="39"/>
      <c r="U123" s="106" t="str">
        <f>IF([7]回答表!F17="簡易水道事業",IF([7]回答表!AD43="○",[7]回答表!B249,""),"")</f>
        <v/>
      </c>
      <c r="V123" s="107"/>
      <c r="W123" s="107"/>
      <c r="X123" s="107"/>
      <c r="Y123" s="107"/>
      <c r="Z123" s="107"/>
      <c r="AA123" s="107"/>
      <c r="AB123" s="107"/>
      <c r="AC123" s="107"/>
      <c r="AD123" s="107"/>
      <c r="AE123" s="107"/>
      <c r="AF123" s="107"/>
      <c r="AG123" s="107"/>
      <c r="AH123" s="107"/>
      <c r="AI123" s="107"/>
      <c r="AJ123" s="108"/>
      <c r="AK123" s="56"/>
      <c r="AL123" s="56"/>
      <c r="AM123" s="106" t="str">
        <f>IF([7]回答表!F17="簡易水道事業",IF([7]回答表!AD43="○",[7]回答表!B255,""),"")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81"/>
      <c r="E124" s="181"/>
      <c r="F124" s="181"/>
      <c r="G124" s="181"/>
      <c r="H124" s="181"/>
      <c r="I124" s="181"/>
      <c r="J124" s="181"/>
      <c r="K124" s="181"/>
      <c r="L124" s="181"/>
      <c r="M124" s="182"/>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81"/>
      <c r="E125" s="181"/>
      <c r="F125" s="181"/>
      <c r="G125" s="181"/>
      <c r="H125" s="181"/>
      <c r="I125" s="181"/>
      <c r="J125" s="181"/>
      <c r="K125" s="181"/>
      <c r="L125" s="181"/>
      <c r="M125" s="182"/>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81"/>
      <c r="E126" s="181"/>
      <c r="F126" s="181"/>
      <c r="G126" s="181"/>
      <c r="H126" s="181"/>
      <c r="I126" s="181"/>
      <c r="J126" s="181"/>
      <c r="K126" s="181"/>
      <c r="L126" s="181"/>
      <c r="M126" s="182"/>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62"/>
      <c r="AS129" s="162"/>
      <c r="AT129" s="162"/>
      <c r="AU129" s="162"/>
      <c r="AV129" s="162"/>
      <c r="AW129" s="162"/>
      <c r="AX129" s="162"/>
      <c r="AY129" s="162"/>
      <c r="AZ129" s="162"/>
      <c r="BA129" s="162"/>
      <c r="BB129" s="162"/>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87"/>
      <c r="AS130" s="187"/>
      <c r="AT130" s="187"/>
      <c r="AU130" s="187"/>
      <c r="AV130" s="187"/>
      <c r="AW130" s="187"/>
      <c r="AX130" s="187"/>
      <c r="AY130" s="187"/>
      <c r="AZ130" s="187"/>
      <c r="BA130" s="187"/>
      <c r="BB130" s="187"/>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81" t="s">
        <v>18</v>
      </c>
      <c r="E135" s="181"/>
      <c r="F135" s="181"/>
      <c r="G135" s="181"/>
      <c r="H135" s="181"/>
      <c r="I135" s="181"/>
      <c r="J135" s="181"/>
      <c r="K135" s="181"/>
      <c r="L135" s="181"/>
      <c r="M135" s="181"/>
      <c r="N135" s="97" t="str">
        <f>IF([7]回答表!F17="下水道事業",IF([7]回答表!X43="○","○",""),"")</f>
        <v/>
      </c>
      <c r="O135" s="98"/>
      <c r="P135" s="98"/>
      <c r="Q135" s="99"/>
      <c r="R135" s="39"/>
      <c r="S135" s="39"/>
      <c r="T135" s="39"/>
      <c r="U135" s="188" t="s">
        <v>49</v>
      </c>
      <c r="V135" s="189"/>
      <c r="W135" s="189"/>
      <c r="X135" s="189"/>
      <c r="Y135" s="189"/>
      <c r="Z135" s="189"/>
      <c r="AA135" s="189"/>
      <c r="AB135" s="189"/>
      <c r="AC135" s="188" t="s">
        <v>50</v>
      </c>
      <c r="AD135" s="189"/>
      <c r="AE135" s="189"/>
      <c r="AF135" s="189"/>
      <c r="AG135" s="189"/>
      <c r="AH135" s="189"/>
      <c r="AI135" s="189"/>
      <c r="AJ135" s="198"/>
      <c r="AK135" s="50"/>
      <c r="AL135" s="50"/>
      <c r="AM135" s="106" t="str">
        <f>IF([7]回答表!F17="下水道事業",IF([7]回答表!X43="○",[7]回答表!B154,IF([7]回答表!AA43="○",[7]回答表!B201,"")),"")</f>
        <v/>
      </c>
      <c r="AN135" s="107"/>
      <c r="AO135" s="107"/>
      <c r="AP135" s="107"/>
      <c r="AQ135" s="107"/>
      <c r="AR135" s="107"/>
      <c r="AS135" s="107"/>
      <c r="AT135" s="107"/>
      <c r="AU135" s="107"/>
      <c r="AV135" s="107"/>
      <c r="AW135" s="107"/>
      <c r="AX135" s="107"/>
      <c r="AY135" s="107"/>
      <c r="AZ135" s="107"/>
      <c r="BA135" s="107"/>
      <c r="BB135" s="108"/>
      <c r="BC135" s="40"/>
      <c r="BD135" s="35"/>
      <c r="BE135" s="115" t="str">
        <f>IF([7]回答表!F17="下水道事業",IF([7]回答表!X43="○",[7]回答表!B190,IF([7]回答表!AA43="○",[7]回答表!B238,"")),"")</f>
        <v/>
      </c>
      <c r="BF135" s="116"/>
      <c r="BG135" s="116"/>
      <c r="BH135" s="116"/>
      <c r="BI135" s="115"/>
      <c r="BJ135" s="116"/>
      <c r="BK135" s="116"/>
      <c r="BL135" s="116"/>
      <c r="BM135" s="115"/>
      <c r="BN135" s="116"/>
      <c r="BO135" s="116"/>
      <c r="BP135" s="117"/>
      <c r="BQ135" s="38"/>
    </row>
    <row r="136" spans="3:69" ht="19.350000000000001" customHeight="1" x14ac:dyDescent="0.4">
      <c r="C136" s="33"/>
      <c r="D136" s="181"/>
      <c r="E136" s="181"/>
      <c r="F136" s="181"/>
      <c r="G136" s="181"/>
      <c r="H136" s="181"/>
      <c r="I136" s="181"/>
      <c r="J136" s="181"/>
      <c r="K136" s="181"/>
      <c r="L136" s="181"/>
      <c r="M136" s="181"/>
      <c r="N136" s="100"/>
      <c r="O136" s="101"/>
      <c r="P136" s="101"/>
      <c r="Q136" s="102"/>
      <c r="R136" s="39"/>
      <c r="S136" s="39"/>
      <c r="T136" s="39"/>
      <c r="U136" s="190"/>
      <c r="V136" s="191"/>
      <c r="W136" s="191"/>
      <c r="X136" s="191"/>
      <c r="Y136" s="191"/>
      <c r="Z136" s="191"/>
      <c r="AA136" s="191"/>
      <c r="AB136" s="191"/>
      <c r="AC136" s="190"/>
      <c r="AD136" s="191"/>
      <c r="AE136" s="191"/>
      <c r="AF136" s="191"/>
      <c r="AG136" s="191"/>
      <c r="AH136" s="191"/>
      <c r="AI136" s="191"/>
      <c r="AJ136" s="199"/>
      <c r="AK136" s="50"/>
      <c r="AL136" s="50"/>
      <c r="AM136" s="109"/>
      <c r="AN136" s="110"/>
      <c r="AO136" s="110"/>
      <c r="AP136" s="110"/>
      <c r="AQ136" s="110"/>
      <c r="AR136" s="110"/>
      <c r="AS136" s="110"/>
      <c r="AT136" s="110"/>
      <c r="AU136" s="110"/>
      <c r="AV136" s="110"/>
      <c r="AW136" s="110"/>
      <c r="AX136" s="110"/>
      <c r="AY136" s="110"/>
      <c r="AZ136" s="110"/>
      <c r="BA136" s="110"/>
      <c r="BB136" s="111"/>
      <c r="BC136" s="40"/>
      <c r="BD136" s="35"/>
      <c r="BE136" s="82"/>
      <c r="BF136" s="83"/>
      <c r="BG136" s="83"/>
      <c r="BH136" s="83"/>
      <c r="BI136" s="82"/>
      <c r="BJ136" s="83"/>
      <c r="BK136" s="83"/>
      <c r="BL136" s="83"/>
      <c r="BM136" s="82"/>
      <c r="BN136" s="83"/>
      <c r="BO136" s="83"/>
      <c r="BP136" s="86"/>
      <c r="BQ136" s="38"/>
    </row>
    <row r="137" spans="3:69" ht="15.6" customHeight="1" x14ac:dyDescent="0.4">
      <c r="C137" s="33"/>
      <c r="D137" s="181"/>
      <c r="E137" s="181"/>
      <c r="F137" s="181"/>
      <c r="G137" s="181"/>
      <c r="H137" s="181"/>
      <c r="I137" s="181"/>
      <c r="J137" s="181"/>
      <c r="K137" s="181"/>
      <c r="L137" s="181"/>
      <c r="M137" s="181"/>
      <c r="N137" s="100"/>
      <c r="O137" s="101"/>
      <c r="P137" s="101"/>
      <c r="Q137" s="102"/>
      <c r="R137" s="39"/>
      <c r="S137" s="39"/>
      <c r="T137" s="39"/>
      <c r="U137" s="118" t="str">
        <f>IF([7]回答表!F17="下水道事業",IF([7]回答表!X43="○",[7]回答表!Y184,IF([7]回答表!AA43="○",[7]回答表!Y232,"")),"")</f>
        <v/>
      </c>
      <c r="V137" s="119"/>
      <c r="W137" s="119"/>
      <c r="X137" s="119"/>
      <c r="Y137" s="119"/>
      <c r="Z137" s="119"/>
      <c r="AA137" s="119"/>
      <c r="AB137" s="120"/>
      <c r="AC137" s="118" t="str">
        <f>IF([7]回答表!F17="下水道事業",IF([7]回答表!X43="○",[7]回答表!Y185,IF([7]回答表!AA43="○",[7]回答表!Y233,"")),"")</f>
        <v/>
      </c>
      <c r="AD137" s="119"/>
      <c r="AE137" s="119"/>
      <c r="AF137" s="119"/>
      <c r="AG137" s="119"/>
      <c r="AH137" s="119"/>
      <c r="AI137" s="119"/>
      <c r="AJ137" s="120"/>
      <c r="AK137" s="50"/>
      <c r="AL137" s="50"/>
      <c r="AM137" s="109"/>
      <c r="AN137" s="110"/>
      <c r="AO137" s="110"/>
      <c r="AP137" s="110"/>
      <c r="AQ137" s="110"/>
      <c r="AR137" s="110"/>
      <c r="AS137" s="110"/>
      <c r="AT137" s="110"/>
      <c r="AU137" s="110"/>
      <c r="AV137" s="110"/>
      <c r="AW137" s="110"/>
      <c r="AX137" s="110"/>
      <c r="AY137" s="110"/>
      <c r="AZ137" s="110"/>
      <c r="BA137" s="110"/>
      <c r="BB137" s="111"/>
      <c r="BC137" s="40"/>
      <c r="BD137" s="35"/>
      <c r="BE137" s="82"/>
      <c r="BF137" s="83"/>
      <c r="BG137" s="83"/>
      <c r="BH137" s="83"/>
      <c r="BI137" s="82"/>
      <c r="BJ137" s="83"/>
      <c r="BK137" s="83"/>
      <c r="BL137" s="83"/>
      <c r="BM137" s="82"/>
      <c r="BN137" s="83"/>
      <c r="BO137" s="83"/>
      <c r="BP137" s="86"/>
      <c r="BQ137" s="38"/>
    </row>
    <row r="138" spans="3:69" ht="15.6" customHeight="1" x14ac:dyDescent="0.4">
      <c r="C138" s="33"/>
      <c r="D138" s="181"/>
      <c r="E138" s="181"/>
      <c r="F138" s="181"/>
      <c r="G138" s="181"/>
      <c r="H138" s="181"/>
      <c r="I138" s="181"/>
      <c r="J138" s="181"/>
      <c r="K138" s="181"/>
      <c r="L138" s="181"/>
      <c r="M138" s="181"/>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109"/>
      <c r="AN138" s="110"/>
      <c r="AO138" s="110"/>
      <c r="AP138" s="110"/>
      <c r="AQ138" s="110"/>
      <c r="AR138" s="110"/>
      <c r="AS138" s="110"/>
      <c r="AT138" s="110"/>
      <c r="AU138" s="110"/>
      <c r="AV138" s="110"/>
      <c r="AW138" s="110"/>
      <c r="AX138" s="110"/>
      <c r="AY138" s="110"/>
      <c r="AZ138" s="110"/>
      <c r="BA138" s="110"/>
      <c r="BB138" s="111"/>
      <c r="BC138" s="40"/>
      <c r="BD138" s="35"/>
      <c r="BE138" s="82" t="str">
        <f>IF([7]回答表!F17="下水道事業",IF([7]回答表!X43="○",[7]回答表!E190,IF([7]回答表!AA43="○",[7]回答表!E238,"")),"")</f>
        <v/>
      </c>
      <c r="BF138" s="83"/>
      <c r="BG138" s="83"/>
      <c r="BH138" s="83"/>
      <c r="BI138" s="82" t="str">
        <f>IF([7]回答表!F17="下水道事業",IF([7]回答表!X43="○",[7]回答表!E191,IF([7]回答表!AA43="○",[7]回答表!E239,"")),"")</f>
        <v/>
      </c>
      <c r="BJ138" s="83"/>
      <c r="BK138" s="83"/>
      <c r="BL138" s="83"/>
      <c r="BM138" s="82" t="str">
        <f>IF([7]回答表!F17="下水道事業",IF([7]回答表!X43="○",[7]回答表!E192,IF([7]回答表!AA43="○",[7]回答表!E240,"")),"")</f>
        <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109"/>
      <c r="AN139" s="110"/>
      <c r="AO139" s="110"/>
      <c r="AP139" s="110"/>
      <c r="AQ139" s="110"/>
      <c r="AR139" s="110"/>
      <c r="AS139" s="110"/>
      <c r="AT139" s="110"/>
      <c r="AU139" s="110"/>
      <c r="AV139" s="110"/>
      <c r="AW139" s="110"/>
      <c r="AX139" s="110"/>
      <c r="AY139" s="110"/>
      <c r="AZ139" s="110"/>
      <c r="BA139" s="110"/>
      <c r="BB139" s="111"/>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88" t="s">
        <v>51</v>
      </c>
      <c r="V140" s="189"/>
      <c r="W140" s="189"/>
      <c r="X140" s="189"/>
      <c r="Y140" s="189"/>
      <c r="Z140" s="189"/>
      <c r="AA140" s="189"/>
      <c r="AB140" s="189"/>
      <c r="AC140" s="192" t="s">
        <v>52</v>
      </c>
      <c r="AD140" s="193"/>
      <c r="AE140" s="193"/>
      <c r="AF140" s="193"/>
      <c r="AG140" s="193"/>
      <c r="AH140" s="193"/>
      <c r="AI140" s="193"/>
      <c r="AJ140" s="194"/>
      <c r="AK140" s="50"/>
      <c r="AL140" s="50"/>
      <c r="AM140" s="109"/>
      <c r="AN140" s="110"/>
      <c r="AO140" s="110"/>
      <c r="AP140" s="110"/>
      <c r="AQ140" s="110"/>
      <c r="AR140" s="110"/>
      <c r="AS140" s="110"/>
      <c r="AT140" s="110"/>
      <c r="AU140" s="110"/>
      <c r="AV140" s="110"/>
      <c r="AW140" s="110"/>
      <c r="AX140" s="110"/>
      <c r="AY140" s="110"/>
      <c r="AZ140" s="110"/>
      <c r="BA140" s="110"/>
      <c r="BB140" s="111"/>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86" t="s">
        <v>26</v>
      </c>
      <c r="E141" s="181"/>
      <c r="F141" s="181"/>
      <c r="G141" s="181"/>
      <c r="H141" s="181"/>
      <c r="I141" s="181"/>
      <c r="J141" s="181"/>
      <c r="K141" s="181"/>
      <c r="L141" s="181"/>
      <c r="M141" s="182"/>
      <c r="N141" s="97" t="str">
        <f>IF([7]回答表!F17="下水道事業",IF([7]回答表!AA43="○","○",""),"")</f>
        <v/>
      </c>
      <c r="O141" s="98"/>
      <c r="P141" s="98"/>
      <c r="Q141" s="99"/>
      <c r="R141" s="39"/>
      <c r="S141" s="39"/>
      <c r="T141" s="39"/>
      <c r="U141" s="190"/>
      <c r="V141" s="191"/>
      <c r="W141" s="191"/>
      <c r="X141" s="191"/>
      <c r="Y141" s="191"/>
      <c r="Z141" s="191"/>
      <c r="AA141" s="191"/>
      <c r="AB141" s="191"/>
      <c r="AC141" s="195"/>
      <c r="AD141" s="196"/>
      <c r="AE141" s="196"/>
      <c r="AF141" s="196"/>
      <c r="AG141" s="196"/>
      <c r="AH141" s="196"/>
      <c r="AI141" s="196"/>
      <c r="AJ141" s="197"/>
      <c r="AK141" s="50"/>
      <c r="AL141" s="50"/>
      <c r="AM141" s="109"/>
      <c r="AN141" s="110"/>
      <c r="AO141" s="110"/>
      <c r="AP141" s="110"/>
      <c r="AQ141" s="110"/>
      <c r="AR141" s="110"/>
      <c r="AS141" s="110"/>
      <c r="AT141" s="110"/>
      <c r="AU141" s="110"/>
      <c r="AV141" s="110"/>
      <c r="AW141" s="110"/>
      <c r="AX141" s="110"/>
      <c r="AY141" s="110"/>
      <c r="AZ141" s="110"/>
      <c r="BA141" s="110"/>
      <c r="BB141" s="111"/>
      <c r="BC141" s="40"/>
      <c r="BD141" s="54"/>
      <c r="BE141" s="82"/>
      <c r="BF141" s="83"/>
      <c r="BG141" s="83"/>
      <c r="BH141" s="83"/>
      <c r="BI141" s="82"/>
      <c r="BJ141" s="83"/>
      <c r="BK141" s="83"/>
      <c r="BL141" s="83"/>
      <c r="BM141" s="82"/>
      <c r="BN141" s="83"/>
      <c r="BO141" s="83"/>
      <c r="BP141" s="86"/>
      <c r="BQ141" s="38"/>
    </row>
    <row r="142" spans="3:69" ht="15.6" customHeight="1" x14ac:dyDescent="0.4">
      <c r="C142" s="33"/>
      <c r="D142" s="181"/>
      <c r="E142" s="181"/>
      <c r="F142" s="181"/>
      <c r="G142" s="181"/>
      <c r="H142" s="181"/>
      <c r="I142" s="181"/>
      <c r="J142" s="181"/>
      <c r="K142" s="181"/>
      <c r="L142" s="181"/>
      <c r="M142" s="182"/>
      <c r="N142" s="100"/>
      <c r="O142" s="101"/>
      <c r="P142" s="101"/>
      <c r="Q142" s="102"/>
      <c r="R142" s="39"/>
      <c r="S142" s="39"/>
      <c r="T142" s="39"/>
      <c r="U142" s="118" t="str">
        <f>IF([7]回答表!F17="下水道事業",IF([7]回答表!X43="○",[7]回答表!Y186,IF([7]回答表!AA43="○",[7]回答表!Y234,"")),"")</f>
        <v/>
      </c>
      <c r="V142" s="119"/>
      <c r="W142" s="119"/>
      <c r="X142" s="119"/>
      <c r="Y142" s="119"/>
      <c r="Z142" s="119"/>
      <c r="AA142" s="119"/>
      <c r="AB142" s="120"/>
      <c r="AC142" s="118" t="str">
        <f>IF([7]回答表!F17="下水道事業",IF([7]回答表!X43="○",[7]回答表!Y187,IF([7]回答表!AA43="○",[7]回答表!Y235,"")),"")</f>
        <v/>
      </c>
      <c r="AD142" s="119"/>
      <c r="AE142" s="119"/>
      <c r="AF142" s="119"/>
      <c r="AG142" s="119"/>
      <c r="AH142" s="119"/>
      <c r="AI142" s="119"/>
      <c r="AJ142" s="120"/>
      <c r="AK142" s="50"/>
      <c r="AL142" s="50"/>
      <c r="AM142" s="109"/>
      <c r="AN142" s="110"/>
      <c r="AO142" s="110"/>
      <c r="AP142" s="110"/>
      <c r="AQ142" s="110"/>
      <c r="AR142" s="110"/>
      <c r="AS142" s="110"/>
      <c r="AT142" s="110"/>
      <c r="AU142" s="110"/>
      <c r="AV142" s="110"/>
      <c r="AW142" s="110"/>
      <c r="AX142" s="110"/>
      <c r="AY142" s="110"/>
      <c r="AZ142" s="110"/>
      <c r="BA142" s="110"/>
      <c r="BB142" s="111"/>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81"/>
      <c r="E143" s="181"/>
      <c r="F143" s="181"/>
      <c r="G143" s="181"/>
      <c r="H143" s="181"/>
      <c r="I143" s="181"/>
      <c r="J143" s="181"/>
      <c r="K143" s="181"/>
      <c r="L143" s="181"/>
      <c r="M143" s="182"/>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109"/>
      <c r="AN143" s="110"/>
      <c r="AO143" s="110"/>
      <c r="AP143" s="110"/>
      <c r="AQ143" s="110"/>
      <c r="AR143" s="110"/>
      <c r="AS143" s="110"/>
      <c r="AT143" s="110"/>
      <c r="AU143" s="110"/>
      <c r="AV143" s="110"/>
      <c r="AW143" s="110"/>
      <c r="AX143" s="110"/>
      <c r="AY143" s="110"/>
      <c r="AZ143" s="110"/>
      <c r="BA143" s="110"/>
      <c r="BB143" s="111"/>
      <c r="BC143" s="40"/>
      <c r="BD143" s="54"/>
      <c r="BE143" s="82"/>
      <c r="BF143" s="83"/>
      <c r="BG143" s="83"/>
      <c r="BH143" s="83"/>
      <c r="BI143" s="82"/>
      <c r="BJ143" s="83"/>
      <c r="BK143" s="83"/>
      <c r="BL143" s="83"/>
      <c r="BM143" s="82"/>
      <c r="BN143" s="83"/>
      <c r="BO143" s="83"/>
      <c r="BP143" s="86"/>
      <c r="BQ143" s="38"/>
    </row>
    <row r="144" spans="3:69" ht="15.6" customHeight="1" x14ac:dyDescent="0.4">
      <c r="C144" s="33"/>
      <c r="D144" s="181"/>
      <c r="E144" s="181"/>
      <c r="F144" s="181"/>
      <c r="G144" s="181"/>
      <c r="H144" s="181"/>
      <c r="I144" s="181"/>
      <c r="J144" s="181"/>
      <c r="K144" s="181"/>
      <c r="L144" s="181"/>
      <c r="M144" s="182"/>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112"/>
      <c r="AN144" s="113"/>
      <c r="AO144" s="113"/>
      <c r="AP144" s="113"/>
      <c r="AQ144" s="113"/>
      <c r="AR144" s="113"/>
      <c r="AS144" s="113"/>
      <c r="AT144" s="113"/>
      <c r="AU144" s="113"/>
      <c r="AV144" s="113"/>
      <c r="AW144" s="113"/>
      <c r="AX144" s="113"/>
      <c r="AY144" s="113"/>
      <c r="AZ144" s="113"/>
      <c r="BA144" s="113"/>
      <c r="BB144" s="114"/>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81" t="s">
        <v>34</v>
      </c>
      <c r="E147" s="181"/>
      <c r="F147" s="181"/>
      <c r="G147" s="181"/>
      <c r="H147" s="181"/>
      <c r="I147" s="181"/>
      <c r="J147" s="181"/>
      <c r="K147" s="181"/>
      <c r="L147" s="181"/>
      <c r="M147" s="182"/>
      <c r="N147" s="97" t="str">
        <f>IF([7]回答表!F17="下水道事業",IF([7]回答表!AD43="○","○",""),"")</f>
        <v/>
      </c>
      <c r="O147" s="98"/>
      <c r="P147" s="98"/>
      <c r="Q147" s="99"/>
      <c r="R147" s="39"/>
      <c r="S147" s="39"/>
      <c r="T147" s="39"/>
      <c r="U147" s="106" t="str">
        <f>IF([7]回答表!F17="下水道事業",IF([7]回答表!AD43="○",[7]回答表!B249,""),"")</f>
        <v/>
      </c>
      <c r="V147" s="107"/>
      <c r="W147" s="107"/>
      <c r="X147" s="107"/>
      <c r="Y147" s="107"/>
      <c r="Z147" s="107"/>
      <c r="AA147" s="107"/>
      <c r="AB147" s="107"/>
      <c r="AC147" s="107"/>
      <c r="AD147" s="107"/>
      <c r="AE147" s="107"/>
      <c r="AF147" s="107"/>
      <c r="AG147" s="107"/>
      <c r="AH147" s="107"/>
      <c r="AI147" s="107"/>
      <c r="AJ147" s="108"/>
      <c r="AK147" s="56"/>
      <c r="AL147" s="56"/>
      <c r="AM147" s="106" t="str">
        <f>IF([7]回答表!F17="下水道事業",IF([7]回答表!AD43="○",[7]回答表!B255,""),"")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81"/>
      <c r="E148" s="181"/>
      <c r="F148" s="181"/>
      <c r="G148" s="181"/>
      <c r="H148" s="181"/>
      <c r="I148" s="181"/>
      <c r="J148" s="181"/>
      <c r="K148" s="181"/>
      <c r="L148" s="181"/>
      <c r="M148" s="182"/>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81"/>
      <c r="E149" s="181"/>
      <c r="F149" s="181"/>
      <c r="G149" s="181"/>
      <c r="H149" s="181"/>
      <c r="I149" s="181"/>
      <c r="J149" s="181"/>
      <c r="K149" s="181"/>
      <c r="L149" s="181"/>
      <c r="M149" s="182"/>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81"/>
      <c r="E150" s="181"/>
      <c r="F150" s="181"/>
      <c r="G150" s="181"/>
      <c r="H150" s="181"/>
      <c r="I150" s="181"/>
      <c r="J150" s="181"/>
      <c r="K150" s="181"/>
      <c r="L150" s="181"/>
      <c r="M150" s="182"/>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62"/>
      <c r="AS153" s="162"/>
      <c r="AT153" s="162"/>
      <c r="AU153" s="162"/>
      <c r="AV153" s="162"/>
      <c r="AW153" s="162"/>
      <c r="AX153" s="162"/>
      <c r="AY153" s="162"/>
      <c r="AZ153" s="162"/>
      <c r="BA153" s="162"/>
      <c r="BB153" s="162"/>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87"/>
      <c r="AS154" s="187"/>
      <c r="AT154" s="187"/>
      <c r="AU154" s="187"/>
      <c r="AV154" s="187"/>
      <c r="AW154" s="187"/>
      <c r="AX154" s="187"/>
      <c r="AY154" s="187"/>
      <c r="AZ154" s="187"/>
      <c r="BA154" s="187"/>
      <c r="BB154" s="187"/>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81" t="s">
        <v>18</v>
      </c>
      <c r="E159" s="181"/>
      <c r="F159" s="181"/>
      <c r="G159" s="181"/>
      <c r="H159" s="181"/>
      <c r="I159" s="181"/>
      <c r="J159" s="181"/>
      <c r="K159" s="181"/>
      <c r="L159" s="181"/>
      <c r="M159" s="181"/>
      <c r="N159" s="97" t="str">
        <f>IF([7]回答表!BD17="○",IF([7]回答表!X43="○","○",""),"")</f>
        <v/>
      </c>
      <c r="O159" s="98"/>
      <c r="P159" s="98"/>
      <c r="Q159" s="99"/>
      <c r="R159" s="39"/>
      <c r="S159" s="39"/>
      <c r="T159" s="39"/>
      <c r="U159" s="106" t="str">
        <f>IF([7]回答表!BD17="○",IF([7]回答表!X43="○",[7]回答表!B154,IF([7]回答表!AA43="○",[7]回答表!B201,"")),"")</f>
        <v/>
      </c>
      <c r="V159" s="107"/>
      <c r="W159" s="107"/>
      <c r="X159" s="107"/>
      <c r="Y159" s="107"/>
      <c r="Z159" s="107"/>
      <c r="AA159" s="107"/>
      <c r="AB159" s="107"/>
      <c r="AC159" s="107"/>
      <c r="AD159" s="107"/>
      <c r="AE159" s="107"/>
      <c r="AF159" s="107"/>
      <c r="AG159" s="107"/>
      <c r="AH159" s="107"/>
      <c r="AI159" s="107"/>
      <c r="AJ159" s="108"/>
      <c r="AK159" s="50"/>
      <c r="AL159" s="50"/>
      <c r="AM159" s="115" t="str">
        <f>IF([7]回答表!BD17="○",IF([7]回答表!X43="○",[7]回答表!B190,IF([7]回答表!AA43="○",[7]回答表!B238,"")),"")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81"/>
      <c r="E160" s="181"/>
      <c r="F160" s="181"/>
      <c r="G160" s="181"/>
      <c r="H160" s="181"/>
      <c r="I160" s="181"/>
      <c r="J160" s="181"/>
      <c r="K160" s="181"/>
      <c r="L160" s="181"/>
      <c r="M160" s="181"/>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81"/>
      <c r="E161" s="181"/>
      <c r="F161" s="181"/>
      <c r="G161" s="181"/>
      <c r="H161" s="181"/>
      <c r="I161" s="181"/>
      <c r="J161" s="181"/>
      <c r="K161" s="181"/>
      <c r="L161" s="181"/>
      <c r="M161" s="181"/>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81"/>
      <c r="E162" s="181"/>
      <c r="F162" s="181"/>
      <c r="G162" s="181"/>
      <c r="H162" s="181"/>
      <c r="I162" s="181"/>
      <c r="J162" s="181"/>
      <c r="K162" s="181"/>
      <c r="L162" s="181"/>
      <c r="M162" s="181"/>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IF([7]回答表!BD17="○",IF([7]回答表!X43="○",[7]回答表!E190,IF([7]回答表!AA43="○",[7]回答表!E238,"")),"")</f>
        <v/>
      </c>
      <c r="AN162" s="83"/>
      <c r="AO162" s="83"/>
      <c r="AP162" s="83"/>
      <c r="AQ162" s="82" t="str">
        <f>IF([7]回答表!BD17="○",IF([7]回答表!X43="○",[7]回答表!E191,IF([7]回答表!AA43="○",[7]回答表!E239,"")),"")</f>
        <v/>
      </c>
      <c r="AR162" s="83"/>
      <c r="AS162" s="83"/>
      <c r="AT162" s="83"/>
      <c r="AU162" s="82" t="str">
        <f>IF([7]回答表!BD17="○",IF([7]回答表!X43="○",[7]回答表!E192,IF([7]回答表!AA43="○",[7]回答表!E240,"")),"")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86" t="s">
        <v>26</v>
      </c>
      <c r="E165" s="181"/>
      <c r="F165" s="181"/>
      <c r="G165" s="181"/>
      <c r="H165" s="181"/>
      <c r="I165" s="181"/>
      <c r="J165" s="181"/>
      <c r="K165" s="181"/>
      <c r="L165" s="181"/>
      <c r="M165" s="182"/>
      <c r="N165" s="97" t="str">
        <f>IF([7]回答表!BD17="○",IF([7]回答表!AA43="○","○",""),"")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81"/>
      <c r="E166" s="181"/>
      <c r="F166" s="181"/>
      <c r="G166" s="181"/>
      <c r="H166" s="181"/>
      <c r="I166" s="181"/>
      <c r="J166" s="181"/>
      <c r="K166" s="181"/>
      <c r="L166" s="181"/>
      <c r="M166" s="182"/>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81"/>
      <c r="E167" s="181"/>
      <c r="F167" s="181"/>
      <c r="G167" s="181"/>
      <c r="H167" s="181"/>
      <c r="I167" s="181"/>
      <c r="J167" s="181"/>
      <c r="K167" s="181"/>
      <c r="L167" s="181"/>
      <c r="M167" s="182"/>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81"/>
      <c r="E168" s="181"/>
      <c r="F168" s="181"/>
      <c r="G168" s="181"/>
      <c r="H168" s="181"/>
      <c r="I168" s="181"/>
      <c r="J168" s="181"/>
      <c r="K168" s="181"/>
      <c r="L168" s="181"/>
      <c r="M168" s="182"/>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81" t="s">
        <v>34</v>
      </c>
      <c r="E171" s="181"/>
      <c r="F171" s="181"/>
      <c r="G171" s="181"/>
      <c r="H171" s="181"/>
      <c r="I171" s="181"/>
      <c r="J171" s="181"/>
      <c r="K171" s="181"/>
      <c r="L171" s="181"/>
      <c r="M171" s="182"/>
      <c r="N171" s="97" t="str">
        <f>IF([7]回答表!BD17="○",IF([7]回答表!AD43="○","○",""),"")</f>
        <v/>
      </c>
      <c r="O171" s="98"/>
      <c r="P171" s="98"/>
      <c r="Q171" s="99"/>
      <c r="R171" s="39"/>
      <c r="S171" s="39"/>
      <c r="T171" s="39"/>
      <c r="U171" s="106" t="str">
        <f>IF([7]回答表!BD17="○",IF([7]回答表!AD43="○",[7]回答表!B249,""),"")</f>
        <v/>
      </c>
      <c r="V171" s="107"/>
      <c r="W171" s="107"/>
      <c r="X171" s="107"/>
      <c r="Y171" s="107"/>
      <c r="Z171" s="107"/>
      <c r="AA171" s="107"/>
      <c r="AB171" s="107"/>
      <c r="AC171" s="107"/>
      <c r="AD171" s="107"/>
      <c r="AE171" s="107"/>
      <c r="AF171" s="107"/>
      <c r="AG171" s="107"/>
      <c r="AH171" s="107"/>
      <c r="AI171" s="107"/>
      <c r="AJ171" s="108"/>
      <c r="AK171" s="56"/>
      <c r="AL171" s="56"/>
      <c r="AM171" s="106" t="str">
        <f>IF([7]回答表!BD17="○",IF([7]回答表!AD43="○",[7]回答表!B255,""),"")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81"/>
      <c r="E172" s="181"/>
      <c r="F172" s="181"/>
      <c r="G172" s="181"/>
      <c r="H172" s="181"/>
      <c r="I172" s="181"/>
      <c r="J172" s="181"/>
      <c r="K172" s="181"/>
      <c r="L172" s="181"/>
      <c r="M172" s="182"/>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81"/>
      <c r="E173" s="181"/>
      <c r="F173" s="181"/>
      <c r="G173" s="181"/>
      <c r="H173" s="181"/>
      <c r="I173" s="181"/>
      <c r="J173" s="181"/>
      <c r="K173" s="181"/>
      <c r="L173" s="181"/>
      <c r="M173" s="182"/>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81"/>
      <c r="E174" s="181"/>
      <c r="F174" s="181"/>
      <c r="G174" s="181"/>
      <c r="H174" s="181"/>
      <c r="I174" s="181"/>
      <c r="J174" s="181"/>
      <c r="K174" s="181"/>
      <c r="L174" s="181"/>
      <c r="M174" s="182"/>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62"/>
      <c r="AS177" s="162"/>
      <c r="AT177" s="162"/>
      <c r="AU177" s="162"/>
      <c r="AV177" s="162"/>
      <c r="AW177" s="162"/>
      <c r="AX177" s="162"/>
      <c r="AY177" s="162"/>
      <c r="AZ177" s="162"/>
      <c r="BA177" s="162"/>
      <c r="BB177" s="162"/>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87"/>
      <c r="AS178" s="187"/>
      <c r="AT178" s="187"/>
      <c r="AU178" s="187"/>
      <c r="AV178" s="187"/>
      <c r="AW178" s="187"/>
      <c r="AX178" s="187"/>
      <c r="AY178" s="187"/>
      <c r="AZ178" s="187"/>
      <c r="BA178" s="187"/>
      <c r="BB178" s="187"/>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81" t="s">
        <v>18</v>
      </c>
      <c r="E183" s="181"/>
      <c r="F183" s="181"/>
      <c r="G183" s="181"/>
      <c r="H183" s="181"/>
      <c r="I183" s="181"/>
      <c r="J183" s="181"/>
      <c r="K183" s="181"/>
      <c r="L183" s="181"/>
      <c r="M183" s="181"/>
      <c r="N183" s="97" t="str">
        <f>IF([7]回答表!X44="○","○","")</f>
        <v>○</v>
      </c>
      <c r="O183" s="98"/>
      <c r="P183" s="98"/>
      <c r="Q183" s="99"/>
      <c r="R183" s="39"/>
      <c r="S183" s="39"/>
      <c r="T183" s="39"/>
      <c r="U183" s="106" t="str">
        <f>IF([7]回答表!X44="○",[7]回答表!B266,IF([7]回答表!AA44="○",[7]回答表!B283,""))</f>
        <v>老人短期入所施設（定員１０人）の管理・運営
住民サービスの充実、介護サービスの質の向上が図られた。</v>
      </c>
      <c r="V183" s="107"/>
      <c r="W183" s="107"/>
      <c r="X183" s="107"/>
      <c r="Y183" s="107"/>
      <c r="Z183" s="107"/>
      <c r="AA183" s="107"/>
      <c r="AB183" s="107"/>
      <c r="AC183" s="107"/>
      <c r="AD183" s="107"/>
      <c r="AE183" s="107"/>
      <c r="AF183" s="107"/>
      <c r="AG183" s="107"/>
      <c r="AH183" s="107"/>
      <c r="AI183" s="107"/>
      <c r="AJ183" s="108"/>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IF([7]回答表!X44="○",[7]回答表!U272,IF([7]回答表!AA44="○",[7]回答表!U289,""))</f>
        <v>平成</v>
      </c>
      <c r="BF183" s="116"/>
      <c r="BG183" s="116"/>
      <c r="BH183" s="116"/>
      <c r="BI183" s="115"/>
      <c r="BJ183" s="116"/>
      <c r="BK183" s="116"/>
      <c r="BL183" s="116"/>
      <c r="BM183" s="115"/>
      <c r="BN183" s="116"/>
      <c r="BO183" s="116"/>
      <c r="BP183" s="117"/>
      <c r="BQ183" s="38"/>
      <c r="BR183" s="25"/>
    </row>
    <row r="184" spans="3:70" ht="15.6" customHeight="1" x14ac:dyDescent="0.4">
      <c r="C184" s="33"/>
      <c r="D184" s="181"/>
      <c r="E184" s="181"/>
      <c r="F184" s="181"/>
      <c r="G184" s="181"/>
      <c r="H184" s="181"/>
      <c r="I184" s="181"/>
      <c r="J184" s="181"/>
      <c r="K184" s="181"/>
      <c r="L184" s="181"/>
      <c r="M184" s="181"/>
      <c r="N184" s="100"/>
      <c r="O184" s="101"/>
      <c r="P184" s="101"/>
      <c r="Q184" s="102"/>
      <c r="R184" s="39"/>
      <c r="S184" s="39"/>
      <c r="T184" s="39"/>
      <c r="U184" s="109"/>
      <c r="V184" s="110"/>
      <c r="W184" s="110"/>
      <c r="X184" s="110"/>
      <c r="Y184" s="110"/>
      <c r="Z184" s="110"/>
      <c r="AA184" s="110"/>
      <c r="AB184" s="110"/>
      <c r="AC184" s="110"/>
      <c r="AD184" s="110"/>
      <c r="AE184" s="110"/>
      <c r="AF184" s="110"/>
      <c r="AG184" s="110"/>
      <c r="AH184" s="110"/>
      <c r="AI184" s="110"/>
      <c r="AJ184" s="111"/>
      <c r="AK184" s="50"/>
      <c r="AL184" s="50"/>
      <c r="AM184" s="183"/>
      <c r="AN184" s="184"/>
      <c r="AO184" s="184"/>
      <c r="AP184" s="184"/>
      <c r="AQ184" s="184"/>
      <c r="AR184" s="184"/>
      <c r="AS184" s="184"/>
      <c r="AT184" s="185"/>
      <c r="AU184" s="183"/>
      <c r="AV184" s="184"/>
      <c r="AW184" s="184"/>
      <c r="AX184" s="184"/>
      <c r="AY184" s="184"/>
      <c r="AZ184" s="184"/>
      <c r="BA184" s="184"/>
      <c r="BB184" s="185"/>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81"/>
      <c r="E185" s="181"/>
      <c r="F185" s="181"/>
      <c r="G185" s="181"/>
      <c r="H185" s="181"/>
      <c r="I185" s="181"/>
      <c r="J185" s="181"/>
      <c r="K185" s="181"/>
      <c r="L185" s="181"/>
      <c r="M185" s="181"/>
      <c r="N185" s="100"/>
      <c r="O185" s="101"/>
      <c r="P185" s="101"/>
      <c r="Q185" s="102"/>
      <c r="R185" s="39"/>
      <c r="S185" s="39"/>
      <c r="T185" s="39"/>
      <c r="U185" s="109"/>
      <c r="V185" s="110"/>
      <c r="W185" s="110"/>
      <c r="X185" s="110"/>
      <c r="Y185" s="110"/>
      <c r="Z185" s="110"/>
      <c r="AA185" s="110"/>
      <c r="AB185" s="110"/>
      <c r="AC185" s="110"/>
      <c r="AD185" s="110"/>
      <c r="AE185" s="110"/>
      <c r="AF185" s="110"/>
      <c r="AG185" s="110"/>
      <c r="AH185" s="110"/>
      <c r="AI185" s="110"/>
      <c r="AJ185" s="111"/>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81"/>
      <c r="E186" s="181"/>
      <c r="F186" s="181"/>
      <c r="G186" s="181"/>
      <c r="H186" s="181"/>
      <c r="I186" s="181"/>
      <c r="J186" s="181"/>
      <c r="K186" s="181"/>
      <c r="L186" s="181"/>
      <c r="M186" s="181"/>
      <c r="N186" s="103"/>
      <c r="O186" s="104"/>
      <c r="P186" s="104"/>
      <c r="Q186" s="105"/>
      <c r="R186" s="39"/>
      <c r="S186" s="39"/>
      <c r="T186" s="39"/>
      <c r="U186" s="109"/>
      <c r="V186" s="110"/>
      <c r="W186" s="110"/>
      <c r="X186" s="110"/>
      <c r="Y186" s="110"/>
      <c r="Z186" s="110"/>
      <c r="AA186" s="110"/>
      <c r="AB186" s="110"/>
      <c r="AC186" s="110"/>
      <c r="AD186" s="110"/>
      <c r="AE186" s="110"/>
      <c r="AF186" s="110"/>
      <c r="AG186" s="110"/>
      <c r="AH186" s="110"/>
      <c r="AI186" s="110"/>
      <c r="AJ186" s="111"/>
      <c r="AK186" s="50"/>
      <c r="AL186" s="50"/>
      <c r="AM186" s="118">
        <f>IF([7]回答表!X44="○",[7]回答表!G272,IF([7]回答表!AA44="○",[7]回答表!G289,""))</f>
        <v>0</v>
      </c>
      <c r="AN186" s="119"/>
      <c r="AO186" s="119"/>
      <c r="AP186" s="119"/>
      <c r="AQ186" s="119"/>
      <c r="AR186" s="119"/>
      <c r="AS186" s="119"/>
      <c r="AT186" s="120"/>
      <c r="AU186" s="118" t="str">
        <f>IF([7]回答表!X44="○",[7]回答表!G273,IF([7]回答表!AA44="○",[7]回答表!G290,""))</f>
        <v>○</v>
      </c>
      <c r="AV186" s="119"/>
      <c r="AW186" s="119"/>
      <c r="AX186" s="119"/>
      <c r="AY186" s="119"/>
      <c r="AZ186" s="119"/>
      <c r="BA186" s="119"/>
      <c r="BB186" s="120"/>
      <c r="BC186" s="40"/>
      <c r="BD186" s="35"/>
      <c r="BE186" s="82">
        <f>IF([7]回答表!X44="○",[7]回答表!X272,IF([7]回答表!AA44="○",[7]回答表!X289,""))</f>
        <v>18</v>
      </c>
      <c r="BF186" s="83"/>
      <c r="BG186" s="83"/>
      <c r="BH186" s="83"/>
      <c r="BI186" s="82">
        <f>IF([7]回答表!X44="○",[7]回答表!X273,IF([7]回答表!AA44="○",[7]回答表!X290,""))</f>
        <v>4</v>
      </c>
      <c r="BJ186" s="83"/>
      <c r="BK186" s="83"/>
      <c r="BL186" s="86"/>
      <c r="BM186" s="82">
        <f>IF([7]回答表!X44="○",[7]回答表!X274,IF([7]回答表!AA44="○",[7]回答表!X291,""))</f>
        <v>1</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09"/>
      <c r="V187" s="110"/>
      <c r="W187" s="110"/>
      <c r="X187" s="110"/>
      <c r="Y187" s="110"/>
      <c r="Z187" s="110"/>
      <c r="AA187" s="110"/>
      <c r="AB187" s="110"/>
      <c r="AC187" s="110"/>
      <c r="AD187" s="110"/>
      <c r="AE187" s="110"/>
      <c r="AF187" s="110"/>
      <c r="AG187" s="110"/>
      <c r="AH187" s="110"/>
      <c r="AI187" s="110"/>
      <c r="AJ187" s="111"/>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09"/>
      <c r="V188" s="110"/>
      <c r="W188" s="110"/>
      <c r="X188" s="110"/>
      <c r="Y188" s="110"/>
      <c r="Z188" s="110"/>
      <c r="AA188" s="110"/>
      <c r="AB188" s="110"/>
      <c r="AC188" s="110"/>
      <c r="AD188" s="110"/>
      <c r="AE188" s="110"/>
      <c r="AF188" s="110"/>
      <c r="AG188" s="110"/>
      <c r="AH188" s="110"/>
      <c r="AI188" s="110"/>
      <c r="AJ188" s="111"/>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86" t="s">
        <v>26</v>
      </c>
      <c r="E189" s="181"/>
      <c r="F189" s="181"/>
      <c r="G189" s="181"/>
      <c r="H189" s="181"/>
      <c r="I189" s="181"/>
      <c r="J189" s="181"/>
      <c r="K189" s="181"/>
      <c r="L189" s="181"/>
      <c r="M189" s="182"/>
      <c r="N189" s="97" t="str">
        <f>IF([7]回答表!AA44="○","○","")</f>
        <v/>
      </c>
      <c r="O189" s="98"/>
      <c r="P189" s="98"/>
      <c r="Q189" s="99"/>
      <c r="R189" s="39"/>
      <c r="S189" s="39"/>
      <c r="T189" s="39"/>
      <c r="U189" s="109"/>
      <c r="V189" s="110"/>
      <c r="W189" s="110"/>
      <c r="X189" s="110"/>
      <c r="Y189" s="110"/>
      <c r="Z189" s="110"/>
      <c r="AA189" s="110"/>
      <c r="AB189" s="110"/>
      <c r="AC189" s="110"/>
      <c r="AD189" s="110"/>
      <c r="AE189" s="110"/>
      <c r="AF189" s="110"/>
      <c r="AG189" s="110"/>
      <c r="AH189" s="110"/>
      <c r="AI189" s="110"/>
      <c r="AJ189" s="111"/>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81"/>
      <c r="E190" s="181"/>
      <c r="F190" s="181"/>
      <c r="G190" s="181"/>
      <c r="H190" s="181"/>
      <c r="I190" s="181"/>
      <c r="J190" s="181"/>
      <c r="K190" s="181"/>
      <c r="L190" s="181"/>
      <c r="M190" s="182"/>
      <c r="N190" s="100"/>
      <c r="O190" s="101"/>
      <c r="P190" s="101"/>
      <c r="Q190" s="102"/>
      <c r="R190" s="39"/>
      <c r="S190" s="39"/>
      <c r="T190" s="39"/>
      <c r="U190" s="109"/>
      <c r="V190" s="110"/>
      <c r="W190" s="110"/>
      <c r="X190" s="110"/>
      <c r="Y190" s="110"/>
      <c r="Z190" s="110"/>
      <c r="AA190" s="110"/>
      <c r="AB190" s="110"/>
      <c r="AC190" s="110"/>
      <c r="AD190" s="110"/>
      <c r="AE190" s="110"/>
      <c r="AF190" s="110"/>
      <c r="AG190" s="110"/>
      <c r="AH190" s="110"/>
      <c r="AI190" s="110"/>
      <c r="AJ190" s="111"/>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81"/>
      <c r="E191" s="181"/>
      <c r="F191" s="181"/>
      <c r="G191" s="181"/>
      <c r="H191" s="181"/>
      <c r="I191" s="181"/>
      <c r="J191" s="181"/>
      <c r="K191" s="181"/>
      <c r="L191" s="181"/>
      <c r="M191" s="182"/>
      <c r="N191" s="100"/>
      <c r="O191" s="101"/>
      <c r="P191" s="101"/>
      <c r="Q191" s="102"/>
      <c r="R191" s="39"/>
      <c r="S191" s="39"/>
      <c r="T191" s="39"/>
      <c r="U191" s="109"/>
      <c r="V191" s="110"/>
      <c r="W191" s="110"/>
      <c r="X191" s="110"/>
      <c r="Y191" s="110"/>
      <c r="Z191" s="110"/>
      <c r="AA191" s="110"/>
      <c r="AB191" s="110"/>
      <c r="AC191" s="110"/>
      <c r="AD191" s="110"/>
      <c r="AE191" s="110"/>
      <c r="AF191" s="110"/>
      <c r="AG191" s="110"/>
      <c r="AH191" s="110"/>
      <c r="AI191" s="110"/>
      <c r="AJ191" s="111"/>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81"/>
      <c r="E192" s="181"/>
      <c r="F192" s="181"/>
      <c r="G192" s="181"/>
      <c r="H192" s="181"/>
      <c r="I192" s="181"/>
      <c r="J192" s="181"/>
      <c r="K192" s="181"/>
      <c r="L192" s="181"/>
      <c r="M192" s="182"/>
      <c r="N192" s="103"/>
      <c r="O192" s="104"/>
      <c r="P192" s="104"/>
      <c r="Q192" s="105"/>
      <c r="R192" s="39"/>
      <c r="S192" s="39"/>
      <c r="T192" s="39"/>
      <c r="U192" s="112"/>
      <c r="V192" s="113"/>
      <c r="W192" s="113"/>
      <c r="X192" s="113"/>
      <c r="Y192" s="113"/>
      <c r="Z192" s="113"/>
      <c r="AA192" s="113"/>
      <c r="AB192" s="113"/>
      <c r="AC192" s="113"/>
      <c r="AD192" s="113"/>
      <c r="AE192" s="113"/>
      <c r="AF192" s="113"/>
      <c r="AG192" s="113"/>
      <c r="AH192" s="113"/>
      <c r="AI192" s="113"/>
      <c r="AJ192" s="114"/>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81" t="s">
        <v>34</v>
      </c>
      <c r="E195" s="181"/>
      <c r="F195" s="181"/>
      <c r="G195" s="181"/>
      <c r="H195" s="181"/>
      <c r="I195" s="181"/>
      <c r="J195" s="181"/>
      <c r="K195" s="181"/>
      <c r="L195" s="181"/>
      <c r="M195" s="182"/>
      <c r="N195" s="97" t="str">
        <f>IF([7]回答表!AD44="○","○","")</f>
        <v/>
      </c>
      <c r="O195" s="98"/>
      <c r="P195" s="98"/>
      <c r="Q195" s="99"/>
      <c r="R195" s="39"/>
      <c r="S195" s="39"/>
      <c r="T195" s="39"/>
      <c r="U195" s="106" t="str">
        <f>IF([7]回答表!AD44="○",[7]回答表!B296,"")</f>
        <v/>
      </c>
      <c r="V195" s="107"/>
      <c r="W195" s="107"/>
      <c r="X195" s="107"/>
      <c r="Y195" s="107"/>
      <c r="Z195" s="107"/>
      <c r="AA195" s="107"/>
      <c r="AB195" s="107"/>
      <c r="AC195" s="107"/>
      <c r="AD195" s="107"/>
      <c r="AE195" s="107"/>
      <c r="AF195" s="107"/>
      <c r="AG195" s="107"/>
      <c r="AH195" s="107"/>
      <c r="AI195" s="107"/>
      <c r="AJ195" s="108"/>
      <c r="AK195" s="61"/>
      <c r="AL195" s="61"/>
      <c r="AM195" s="106" t="str">
        <f>IF([7]回答表!AD44="○",[7]回答表!B302,"")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81"/>
      <c r="E196" s="181"/>
      <c r="F196" s="181"/>
      <c r="G196" s="181"/>
      <c r="H196" s="181"/>
      <c r="I196" s="181"/>
      <c r="J196" s="181"/>
      <c r="K196" s="181"/>
      <c r="L196" s="181"/>
      <c r="M196" s="182"/>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81"/>
      <c r="E197" s="181"/>
      <c r="F197" s="181"/>
      <c r="G197" s="181"/>
      <c r="H197" s="181"/>
      <c r="I197" s="181"/>
      <c r="J197" s="181"/>
      <c r="K197" s="181"/>
      <c r="L197" s="181"/>
      <c r="M197" s="182"/>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81"/>
      <c r="E198" s="181"/>
      <c r="F198" s="181"/>
      <c r="G198" s="181"/>
      <c r="H198" s="181"/>
      <c r="I198" s="181"/>
      <c r="J198" s="181"/>
      <c r="K198" s="181"/>
      <c r="L198" s="181"/>
      <c r="M198" s="182"/>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62"/>
      <c r="AS201" s="162"/>
      <c r="AT201" s="162"/>
      <c r="AU201" s="162"/>
      <c r="AV201" s="162"/>
      <c r="AW201" s="162"/>
      <c r="AX201" s="162"/>
      <c r="AY201" s="162"/>
      <c r="AZ201" s="162"/>
      <c r="BA201" s="162"/>
      <c r="BB201" s="162"/>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63"/>
      <c r="AS202" s="163"/>
      <c r="AT202" s="163"/>
      <c r="AU202" s="163"/>
      <c r="AV202" s="163"/>
      <c r="AW202" s="163"/>
      <c r="AX202" s="163"/>
      <c r="AY202" s="163"/>
      <c r="AZ202" s="163"/>
      <c r="BA202" s="163"/>
      <c r="BB202" s="163"/>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IF([7]回答表!X45="○","○","")</f>
        <v/>
      </c>
      <c r="O207" s="98"/>
      <c r="P207" s="98"/>
      <c r="Q207" s="99"/>
      <c r="R207" s="39"/>
      <c r="S207" s="39"/>
      <c r="T207" s="39"/>
      <c r="U207" s="106" t="str">
        <f>IF([7]回答表!X45="○",[7]回答表!B314,IF([7]回答表!AA45="○",[7]回答表!B337,""))</f>
        <v/>
      </c>
      <c r="V207" s="107"/>
      <c r="W207" s="107"/>
      <c r="X207" s="107"/>
      <c r="Y207" s="107"/>
      <c r="Z207" s="107"/>
      <c r="AA207" s="107"/>
      <c r="AB207" s="107"/>
      <c r="AC207" s="107"/>
      <c r="AD207" s="107"/>
      <c r="AE207" s="107"/>
      <c r="AF207" s="107"/>
      <c r="AG207" s="107"/>
      <c r="AH207" s="107"/>
      <c r="AI207" s="107"/>
      <c r="AJ207" s="108"/>
      <c r="AK207" s="50"/>
      <c r="AL207" s="50"/>
      <c r="AM207" s="50"/>
      <c r="AN207" s="106" t="str">
        <f>IF([7]回答表!X45="○",[7]回答表!B320,"")</f>
        <v/>
      </c>
      <c r="AO207" s="173"/>
      <c r="AP207" s="173"/>
      <c r="AQ207" s="173"/>
      <c r="AR207" s="173"/>
      <c r="AS207" s="173"/>
      <c r="AT207" s="173"/>
      <c r="AU207" s="173"/>
      <c r="AV207" s="173"/>
      <c r="AW207" s="173"/>
      <c r="AX207" s="173"/>
      <c r="AY207" s="173"/>
      <c r="AZ207" s="173"/>
      <c r="BA207" s="173"/>
      <c r="BB207" s="174"/>
      <c r="BC207" s="40"/>
      <c r="BD207" s="35"/>
      <c r="BE207" s="115" t="str">
        <f>IF([7]回答表!X45="○",[7]回答表!B326,IF([7]回答表!AA45="○",[7]回答表!B343,""))</f>
        <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75"/>
      <c r="AO208" s="176"/>
      <c r="AP208" s="176"/>
      <c r="AQ208" s="176"/>
      <c r="AR208" s="176"/>
      <c r="AS208" s="176"/>
      <c r="AT208" s="176"/>
      <c r="AU208" s="176"/>
      <c r="AV208" s="176"/>
      <c r="AW208" s="176"/>
      <c r="AX208" s="176"/>
      <c r="AY208" s="176"/>
      <c r="AZ208" s="176"/>
      <c r="BA208" s="176"/>
      <c r="BB208" s="177"/>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75"/>
      <c r="AO209" s="176"/>
      <c r="AP209" s="176"/>
      <c r="AQ209" s="176"/>
      <c r="AR209" s="176"/>
      <c r="AS209" s="176"/>
      <c r="AT209" s="176"/>
      <c r="AU209" s="176"/>
      <c r="AV209" s="176"/>
      <c r="AW209" s="176"/>
      <c r="AX209" s="176"/>
      <c r="AY209" s="176"/>
      <c r="AZ209" s="176"/>
      <c r="BA209" s="176"/>
      <c r="BB209" s="177"/>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75"/>
      <c r="AO210" s="176"/>
      <c r="AP210" s="176"/>
      <c r="AQ210" s="176"/>
      <c r="AR210" s="176"/>
      <c r="AS210" s="176"/>
      <c r="AT210" s="176"/>
      <c r="AU210" s="176"/>
      <c r="AV210" s="176"/>
      <c r="AW210" s="176"/>
      <c r="AX210" s="176"/>
      <c r="AY210" s="176"/>
      <c r="AZ210" s="176"/>
      <c r="BA210" s="176"/>
      <c r="BB210" s="177"/>
      <c r="BC210" s="40"/>
      <c r="BD210" s="35"/>
      <c r="BE210" s="82" t="str">
        <f>IF([7]回答表!X45="○",[7]回答表!E326,IF([7]回答表!AA45="○",[7]回答表!E343,""))</f>
        <v/>
      </c>
      <c r="BF210" s="83"/>
      <c r="BG210" s="83"/>
      <c r="BH210" s="83"/>
      <c r="BI210" s="82" t="str">
        <f>IF([7]回答表!X45="○",[7]回答表!E327,IF([7]回答表!AA45="○",[7]回答表!E344,""))</f>
        <v/>
      </c>
      <c r="BJ210" s="83"/>
      <c r="BK210" s="83"/>
      <c r="BL210" s="86"/>
      <c r="BM210" s="82" t="str">
        <f>IF([7]回答表!X45="○",[7]回答表!E328,IF([7]回答表!AA45="○",[7]回答表!E345,""))</f>
        <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75"/>
      <c r="AO211" s="176"/>
      <c r="AP211" s="176"/>
      <c r="AQ211" s="176"/>
      <c r="AR211" s="176"/>
      <c r="AS211" s="176"/>
      <c r="AT211" s="176"/>
      <c r="AU211" s="176"/>
      <c r="AV211" s="176"/>
      <c r="AW211" s="176"/>
      <c r="AX211" s="176"/>
      <c r="AY211" s="176"/>
      <c r="AZ211" s="176"/>
      <c r="BA211" s="176"/>
      <c r="BB211" s="177"/>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75"/>
      <c r="AO212" s="176"/>
      <c r="AP212" s="176"/>
      <c r="AQ212" s="176"/>
      <c r="AR212" s="176"/>
      <c r="AS212" s="176"/>
      <c r="AT212" s="176"/>
      <c r="AU212" s="176"/>
      <c r="AV212" s="176"/>
      <c r="AW212" s="176"/>
      <c r="AX212" s="176"/>
      <c r="AY212" s="176"/>
      <c r="AZ212" s="176"/>
      <c r="BA212" s="176"/>
      <c r="BB212" s="177"/>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IF([7]回答表!AA45="○","○","")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75"/>
      <c r="AO213" s="176"/>
      <c r="AP213" s="176"/>
      <c r="AQ213" s="176"/>
      <c r="AR213" s="176"/>
      <c r="AS213" s="176"/>
      <c r="AT213" s="176"/>
      <c r="AU213" s="176"/>
      <c r="AV213" s="176"/>
      <c r="AW213" s="176"/>
      <c r="AX213" s="176"/>
      <c r="AY213" s="176"/>
      <c r="AZ213" s="176"/>
      <c r="BA213" s="176"/>
      <c r="BB213" s="177"/>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75"/>
      <c r="AO214" s="176"/>
      <c r="AP214" s="176"/>
      <c r="AQ214" s="176"/>
      <c r="AR214" s="176"/>
      <c r="AS214" s="176"/>
      <c r="AT214" s="176"/>
      <c r="AU214" s="176"/>
      <c r="AV214" s="176"/>
      <c r="AW214" s="176"/>
      <c r="AX214" s="176"/>
      <c r="AY214" s="176"/>
      <c r="AZ214" s="176"/>
      <c r="BA214" s="176"/>
      <c r="BB214" s="177"/>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75"/>
      <c r="AO215" s="176"/>
      <c r="AP215" s="176"/>
      <c r="AQ215" s="176"/>
      <c r="AR215" s="176"/>
      <c r="AS215" s="176"/>
      <c r="AT215" s="176"/>
      <c r="AU215" s="176"/>
      <c r="AV215" s="176"/>
      <c r="AW215" s="176"/>
      <c r="AX215" s="176"/>
      <c r="AY215" s="176"/>
      <c r="AZ215" s="176"/>
      <c r="BA215" s="176"/>
      <c r="BB215" s="177"/>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78"/>
      <c r="AO216" s="179"/>
      <c r="AP216" s="179"/>
      <c r="AQ216" s="179"/>
      <c r="AR216" s="179"/>
      <c r="AS216" s="179"/>
      <c r="AT216" s="179"/>
      <c r="AU216" s="179"/>
      <c r="AV216" s="179"/>
      <c r="AW216" s="179"/>
      <c r="AX216" s="179"/>
      <c r="AY216" s="179"/>
      <c r="AZ216" s="179"/>
      <c r="BA216" s="179"/>
      <c r="BB216" s="180"/>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IF([7]回答表!AD45="○","○","")</f>
        <v/>
      </c>
      <c r="O219" s="98"/>
      <c r="P219" s="98"/>
      <c r="Q219" s="99"/>
      <c r="R219" s="39"/>
      <c r="S219" s="39"/>
      <c r="T219" s="39"/>
      <c r="U219" s="106" t="str">
        <f>IF([7]回答表!AD45="○",[7]回答表!B350,"")</f>
        <v/>
      </c>
      <c r="V219" s="107"/>
      <c r="W219" s="107"/>
      <c r="X219" s="107"/>
      <c r="Y219" s="107"/>
      <c r="Z219" s="107"/>
      <c r="AA219" s="107"/>
      <c r="AB219" s="107"/>
      <c r="AC219" s="107"/>
      <c r="AD219" s="107"/>
      <c r="AE219" s="107"/>
      <c r="AF219" s="107"/>
      <c r="AG219" s="107"/>
      <c r="AH219" s="107"/>
      <c r="AI219" s="107"/>
      <c r="AJ219" s="108"/>
      <c r="AK219" s="61"/>
      <c r="AL219" s="61"/>
      <c r="AM219" s="106" t="str">
        <f>IF([7]回答表!AD45="○",[7]回答表!B356,"")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62"/>
      <c r="AS225" s="162"/>
      <c r="AT225" s="162"/>
      <c r="AU225" s="162"/>
      <c r="AV225" s="162"/>
      <c r="AW225" s="162"/>
      <c r="AX225" s="162"/>
      <c r="AY225" s="162"/>
      <c r="AZ225" s="162"/>
      <c r="BA225" s="162"/>
      <c r="BB225" s="162"/>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63"/>
      <c r="AS226" s="163"/>
      <c r="AT226" s="163"/>
      <c r="AU226" s="163"/>
      <c r="AV226" s="163"/>
      <c r="AW226" s="163"/>
      <c r="AX226" s="163"/>
      <c r="AY226" s="163"/>
      <c r="AZ226" s="163"/>
      <c r="BA226" s="163"/>
      <c r="BB226" s="163"/>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IF([7]回答表!X46="○","○","")</f>
        <v/>
      </c>
      <c r="O231" s="98"/>
      <c r="P231" s="98"/>
      <c r="Q231" s="99"/>
      <c r="R231" s="39"/>
      <c r="S231" s="39"/>
      <c r="T231" s="39"/>
      <c r="U231" s="106" t="str">
        <f>IF([7]回答表!X46="○",[7]回答表!B368,IF([7]回答表!AA46="○",[7]回答表!B382,""))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IF([7]回答表!X46="○",[7]回答表!BC375,IF([7]回答表!AA46="○",[7]回答表!BC389,""))</f>
        <v/>
      </c>
      <c r="AR231" s="150"/>
      <c r="AS231" s="150"/>
      <c r="AT231" s="150"/>
      <c r="AU231" s="164" t="s">
        <v>63</v>
      </c>
      <c r="AV231" s="165"/>
      <c r="AW231" s="165"/>
      <c r="AX231" s="166"/>
      <c r="AY231" s="150" t="str">
        <f>IF([7]回答表!X46="○",[7]回答表!BC380,IF([7]回答表!AA46="○",[7]回答表!BC394,""))</f>
        <v/>
      </c>
      <c r="AZ231" s="150"/>
      <c r="BA231" s="150"/>
      <c r="BB231" s="150"/>
      <c r="BC231" s="40"/>
      <c r="BD231" s="35"/>
      <c r="BE231" s="115" t="str">
        <f>IF([7]回答表!X46="○",[7]回答表!S374,IF([7]回答表!AA46="○",[7]回答表!S388,""))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67"/>
      <c r="AV232" s="168"/>
      <c r="AW232" s="168"/>
      <c r="AX232" s="169"/>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IF([7]回答表!X46="○",[7]回答表!BC376,IF([7]回答表!AA46="○",[7]回答表!BC390,""))</f>
        <v/>
      </c>
      <c r="AR233" s="150"/>
      <c r="AS233" s="150"/>
      <c r="AT233" s="150"/>
      <c r="AU233" s="167"/>
      <c r="AV233" s="168"/>
      <c r="AW233" s="168"/>
      <c r="AX233" s="169"/>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67"/>
      <c r="AV234" s="168"/>
      <c r="AW234" s="168"/>
      <c r="AX234" s="169"/>
      <c r="AY234" s="150"/>
      <c r="AZ234" s="150"/>
      <c r="BA234" s="150"/>
      <c r="BB234" s="150"/>
      <c r="BC234" s="40"/>
      <c r="BD234" s="35"/>
      <c r="BE234" s="82" t="str">
        <f>IF([7]回答表!X46="○",[7]回答表!V374,IF([7]回答表!AA46="○",[7]回答表!V388,""))</f>
        <v/>
      </c>
      <c r="BF234" s="83"/>
      <c r="BG234" s="83"/>
      <c r="BH234" s="83"/>
      <c r="BI234" s="82" t="str">
        <f>IF([7]回答表!X46="○",[7]回答表!V375,IF([7]回答表!AA46="○",[7]回答表!V389,""))</f>
        <v/>
      </c>
      <c r="BJ234" s="83"/>
      <c r="BK234" s="83"/>
      <c r="BL234" s="86"/>
      <c r="BM234" s="82" t="str">
        <f>IF([7]回答表!X46="○",[7]回答表!V376,IF([7]回答表!AA46="○",[7]回答表!V390,""))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IF([7]回答表!X46="○",[7]回答表!BC377,IF([7]回答表!AA46="○",[7]回答表!BC391,""))</f>
        <v/>
      </c>
      <c r="AR235" s="150"/>
      <c r="AS235" s="150"/>
      <c r="AT235" s="150"/>
      <c r="AU235" s="170"/>
      <c r="AV235" s="171"/>
      <c r="AW235" s="171"/>
      <c r="AX235" s="172"/>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60" t="str">
        <f>IF([7]回答表!X46="○",[7]回答表!BC381,IF([7]回答表!AA46="○",[7]回答表!BC395,""))</f>
        <v/>
      </c>
      <c r="AZ236" s="160"/>
      <c r="BA236" s="160"/>
      <c r="BB236" s="160"/>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IF([7]回答表!AA46="○","○","")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61" t="str">
        <f>IF([7]回答表!X46="○",[7]回答表!BC378,IF([7]回答表!AA46="○",[7]回答表!BC392,""))</f>
        <v/>
      </c>
      <c r="AR237" s="150"/>
      <c r="AS237" s="150"/>
      <c r="AT237" s="150"/>
      <c r="AU237" s="149"/>
      <c r="AV237" s="149"/>
      <c r="AW237" s="149"/>
      <c r="AX237" s="149"/>
      <c r="AY237" s="160"/>
      <c r="AZ237" s="160"/>
      <c r="BA237" s="160"/>
      <c r="BB237" s="160"/>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60"/>
      <c r="AZ238" s="160"/>
      <c r="BA238" s="160"/>
      <c r="BB238" s="160"/>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IF([7]回答表!X46="○",[7]回答表!BC379,IF([7]回答表!AA46="○",[7]回答表!BC393,""))</f>
        <v/>
      </c>
      <c r="AR239" s="150"/>
      <c r="AS239" s="150"/>
      <c r="AT239" s="150"/>
      <c r="AU239" s="149"/>
      <c r="AV239" s="149"/>
      <c r="AW239" s="149"/>
      <c r="AX239" s="149"/>
      <c r="AY239" s="160"/>
      <c r="AZ239" s="160"/>
      <c r="BA239" s="160"/>
      <c r="BB239" s="160"/>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60"/>
      <c r="AZ240" s="160"/>
      <c r="BA240" s="160"/>
      <c r="BB240" s="160"/>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IF([7]回答表!AD46="○","○","")</f>
        <v/>
      </c>
      <c r="O243" s="98"/>
      <c r="P243" s="98"/>
      <c r="Q243" s="99"/>
      <c r="R243" s="39"/>
      <c r="S243" s="39"/>
      <c r="T243" s="39"/>
      <c r="U243" s="106" t="str">
        <f>IF([7]回答表!AD46="○",[7]回答表!B396,"")</f>
        <v/>
      </c>
      <c r="V243" s="107"/>
      <c r="W243" s="107"/>
      <c r="X243" s="107"/>
      <c r="Y243" s="107"/>
      <c r="Z243" s="107"/>
      <c r="AA243" s="107"/>
      <c r="AB243" s="107"/>
      <c r="AC243" s="107"/>
      <c r="AD243" s="107"/>
      <c r="AE243" s="107"/>
      <c r="AF243" s="107"/>
      <c r="AG243" s="107"/>
      <c r="AH243" s="107"/>
      <c r="AI243" s="107"/>
      <c r="AJ243" s="108"/>
      <c r="AK243" s="56"/>
      <c r="AL243" s="56"/>
      <c r="AM243" s="106" t="str">
        <f>IF([7]回答表!AD46="○",[7]回答表!B402,"")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IF([7]回答表!X47="○","○","")</f>
        <v/>
      </c>
      <c r="O254" s="98"/>
      <c r="P254" s="98"/>
      <c r="Q254" s="99"/>
      <c r="R254" s="39"/>
      <c r="S254" s="39"/>
      <c r="T254" s="39"/>
      <c r="U254" s="106" t="str">
        <f>IF([7]回答表!X47="○",[7]回答表!B414,IF([7]回答表!AA47="○",[7]回答表!B431,""))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IF([7]回答表!X47="○",[7]回答表!B424,IF([7]回答表!AA47="○",[7]回答表!B441,""))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IF([7]回答表!X47="○",[7]回答表!G420,IF([7]回答表!AA47="○",[7]回答表!G437,""))</f>
        <v/>
      </c>
      <c r="AN256" s="119"/>
      <c r="AO256" s="119"/>
      <c r="AP256" s="119"/>
      <c r="AQ256" s="119"/>
      <c r="AR256" s="119"/>
      <c r="AS256" s="119"/>
      <c r="AT256" s="120"/>
      <c r="AU256" s="118" t="str">
        <f>IF([7]回答表!X47="○",[7]回答表!G421,IF([7]回答表!AA47="○",[7]回答表!G438,""))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IF([7]回答表!X47="○",[7]回答表!E424,IF([7]回答表!AA47="○",[7]回答表!E441,""))</f>
        <v/>
      </c>
      <c r="BF257" s="83"/>
      <c r="BG257" s="83"/>
      <c r="BH257" s="83"/>
      <c r="BI257" s="82" t="str">
        <f>IF([7]回答表!X47="○",[7]回答表!E425,IF([7]回答表!AA47="○",[7]回答表!E442,""))</f>
        <v/>
      </c>
      <c r="BJ257" s="83"/>
      <c r="BK257" s="83"/>
      <c r="BL257" s="86"/>
      <c r="BM257" s="82" t="str">
        <f>IF([7]回答表!X47="○",[7]回答表!E426,IF([7]回答表!AA47="○",[7]回答表!E443,""))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IF([7]回答表!AA47="○","○","")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IF([7]回答表!AD47="○","○","")</f>
        <v/>
      </c>
      <c r="O266" s="98"/>
      <c r="P266" s="98"/>
      <c r="Q266" s="99"/>
      <c r="R266" s="39"/>
      <c r="S266" s="39"/>
      <c r="T266" s="39"/>
      <c r="U266" s="106" t="str">
        <f>IF([7]回答表!AD47="○",[7]回答表!B448,"")</f>
        <v/>
      </c>
      <c r="V266" s="107"/>
      <c r="W266" s="107"/>
      <c r="X266" s="107"/>
      <c r="Y266" s="107"/>
      <c r="Z266" s="107"/>
      <c r="AA266" s="107"/>
      <c r="AB266" s="107"/>
      <c r="AC266" s="107"/>
      <c r="AD266" s="107"/>
      <c r="AE266" s="107"/>
      <c r="AF266" s="107"/>
      <c r="AG266" s="107"/>
      <c r="AH266" s="107"/>
      <c r="AI266" s="107"/>
      <c r="AJ266" s="108"/>
      <c r="AK266" s="50"/>
      <c r="AL266" s="50"/>
      <c r="AM266" s="106" t="str">
        <f>IF([7]回答表!AD47="○",[7]回答表!B454,"")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IF([7]回答表!R48="○",[7]回答表!B467,"")</f>
        <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D243:M246"/>
    <mergeCell ref="N243:Q246"/>
    <mergeCell ref="U243:AJ246"/>
    <mergeCell ref="AR105:BB106"/>
    <mergeCell ref="D107:Q108"/>
    <mergeCell ref="R107:BB108"/>
    <mergeCell ref="D111:M114"/>
    <mergeCell ref="N111:Q114"/>
    <mergeCell ref="D99:M102"/>
    <mergeCell ref="N99:Q102"/>
    <mergeCell ref="U99:AJ102"/>
    <mergeCell ref="AM99:BP102"/>
    <mergeCell ref="BI111:BL113"/>
    <mergeCell ref="U111:AJ112"/>
    <mergeCell ref="U116:AJ117"/>
    <mergeCell ref="U118:AJ120"/>
    <mergeCell ref="U113:AJ115"/>
    <mergeCell ref="AM111:BB120"/>
    <mergeCell ref="BE111:BH113"/>
    <mergeCell ref="BE114:BH117"/>
    <mergeCell ref="D117:M120"/>
    <mergeCell ref="N117:Q120"/>
    <mergeCell ref="BE118:BH120"/>
    <mergeCell ref="C11:T13"/>
    <mergeCell ref="BE261:BH263"/>
    <mergeCell ref="BI261:BL263"/>
    <mergeCell ref="BM261:BP263"/>
    <mergeCell ref="D266:M269"/>
    <mergeCell ref="N266:Q269"/>
    <mergeCell ref="U266:AJ269"/>
    <mergeCell ref="AM266:BP269"/>
    <mergeCell ref="BE254:BH256"/>
    <mergeCell ref="BI254:BL256"/>
    <mergeCell ref="AM243:BP246"/>
    <mergeCell ref="AY236:BB240"/>
    <mergeCell ref="D237:M240"/>
    <mergeCell ref="N237:Q240"/>
    <mergeCell ref="AM237:AP238"/>
    <mergeCell ref="AQ237:AT238"/>
    <mergeCell ref="BE238:BH240"/>
    <mergeCell ref="BM238:BP240"/>
    <mergeCell ref="BE234:BH237"/>
    <mergeCell ref="BI234:BL237"/>
    <mergeCell ref="BI238:BL240"/>
    <mergeCell ref="AM239:AP240"/>
    <mergeCell ref="AQ239:AT240"/>
    <mergeCell ref="D123:M126"/>
    <mergeCell ref="AR249:BB249"/>
    <mergeCell ref="D250:Q251"/>
    <mergeCell ref="R250:BB251"/>
    <mergeCell ref="D254:M257"/>
    <mergeCell ref="N254:Q257"/>
    <mergeCell ref="U254:AJ263"/>
    <mergeCell ref="BM254:BP256"/>
    <mergeCell ref="AM256:AT258"/>
    <mergeCell ref="AU256:BB258"/>
    <mergeCell ref="BE257:BH260"/>
    <mergeCell ref="BI257:BL260"/>
    <mergeCell ref="BM257:BP260"/>
    <mergeCell ref="AM254:AT255"/>
    <mergeCell ref="AU254:BB255"/>
    <mergeCell ref="D260:M263"/>
    <mergeCell ref="N260:Q263"/>
    <mergeCell ref="AO43:BB43"/>
    <mergeCell ref="N231:Q234"/>
    <mergeCell ref="U231:AJ240"/>
    <mergeCell ref="AM231:AP232"/>
    <mergeCell ref="AQ231:AT232"/>
    <mergeCell ref="AU231:AX235"/>
    <mergeCell ref="AQ235:AT236"/>
    <mergeCell ref="AU236:AX240"/>
    <mergeCell ref="N219:Q222"/>
    <mergeCell ref="N123:Q126"/>
    <mergeCell ref="U123:AJ126"/>
    <mergeCell ref="AM123:BP126"/>
    <mergeCell ref="U219:AJ222"/>
    <mergeCell ref="D83:Q84"/>
    <mergeCell ref="R83:BB84"/>
    <mergeCell ref="AM235:AP236"/>
    <mergeCell ref="AM46:AN46"/>
    <mergeCell ref="AM47:AN47"/>
    <mergeCell ref="AM48:AN48"/>
    <mergeCell ref="AC89:AJ91"/>
    <mergeCell ref="U92:AB93"/>
    <mergeCell ref="AC92:AJ93"/>
    <mergeCell ref="BM234:BP237"/>
    <mergeCell ref="D213:M216"/>
    <mergeCell ref="N213:Q216"/>
    <mergeCell ref="AR201:BB202"/>
    <mergeCell ref="D203:Q204"/>
    <mergeCell ref="R203:BB204"/>
    <mergeCell ref="D207:M210"/>
    <mergeCell ref="N207:Q210"/>
    <mergeCell ref="U207:AJ216"/>
    <mergeCell ref="AN207:BB216"/>
    <mergeCell ref="AM219:BP222"/>
    <mergeCell ref="AR225:BB226"/>
    <mergeCell ref="D227:Q228"/>
    <mergeCell ref="R227:BB228"/>
    <mergeCell ref="AY231:BB235"/>
    <mergeCell ref="BE231:BH233"/>
    <mergeCell ref="BI231:BL233"/>
    <mergeCell ref="BM231:BP233"/>
    <mergeCell ref="AM233:AP234"/>
    <mergeCell ref="AQ233:AT234"/>
    <mergeCell ref="D231:M234"/>
    <mergeCell ref="D219:M222"/>
    <mergeCell ref="D195:M198"/>
    <mergeCell ref="N195:Q198"/>
    <mergeCell ref="U195:AJ198"/>
    <mergeCell ref="AM195:BP198"/>
    <mergeCell ref="BI183:BL185"/>
    <mergeCell ref="BM183:BP185"/>
    <mergeCell ref="AM186:AT188"/>
    <mergeCell ref="AU186:BB188"/>
    <mergeCell ref="BE186:BH189"/>
    <mergeCell ref="BI186:BL189"/>
    <mergeCell ref="AR177:BB178"/>
    <mergeCell ref="D179:Q180"/>
    <mergeCell ref="R179:BB180"/>
    <mergeCell ref="AQ162:AT165"/>
    <mergeCell ref="AU162:AX165"/>
    <mergeCell ref="D165:M168"/>
    <mergeCell ref="N165:Q168"/>
    <mergeCell ref="AM166:AP168"/>
    <mergeCell ref="BM186:BP189"/>
    <mergeCell ref="D183:M186"/>
    <mergeCell ref="N183:Q186"/>
    <mergeCell ref="U183:AJ192"/>
    <mergeCell ref="AM183:AT185"/>
    <mergeCell ref="AU183:BB185"/>
    <mergeCell ref="BE183:BH185"/>
    <mergeCell ref="D189:M192"/>
    <mergeCell ref="N189:Q192"/>
    <mergeCell ref="BE190:BH192"/>
    <mergeCell ref="D171:M174"/>
    <mergeCell ref="N171:Q174"/>
    <mergeCell ref="U171:AJ174"/>
    <mergeCell ref="AM171:BP174"/>
    <mergeCell ref="BE142:BH144"/>
    <mergeCell ref="BI142:BL144"/>
    <mergeCell ref="BM142:BP144"/>
    <mergeCell ref="D147:M150"/>
    <mergeCell ref="N147:Q150"/>
    <mergeCell ref="U147:AJ150"/>
    <mergeCell ref="AQ166:AT168"/>
    <mergeCell ref="AU166:AX168"/>
    <mergeCell ref="D159:M162"/>
    <mergeCell ref="N159:Q162"/>
    <mergeCell ref="U159:AJ168"/>
    <mergeCell ref="AM159:AP161"/>
    <mergeCell ref="AQ159:AT161"/>
    <mergeCell ref="AU159:AX161"/>
    <mergeCell ref="AM162:AP165"/>
    <mergeCell ref="D141:M144"/>
    <mergeCell ref="N141:Q144"/>
    <mergeCell ref="U142:AB144"/>
    <mergeCell ref="AC142:AJ144"/>
    <mergeCell ref="AM147:BP150"/>
    <mergeCell ref="AR153:BB154"/>
    <mergeCell ref="D155:Q156"/>
    <mergeCell ref="R155:BB156"/>
    <mergeCell ref="AR129:BB130"/>
    <mergeCell ref="D131:Q132"/>
    <mergeCell ref="R131:BB132"/>
    <mergeCell ref="D135:M138"/>
    <mergeCell ref="N135:Q138"/>
    <mergeCell ref="U135:AB136"/>
    <mergeCell ref="U137:AB139"/>
    <mergeCell ref="AC137:AJ139"/>
    <mergeCell ref="BE138:BH141"/>
    <mergeCell ref="BI138:BL141"/>
    <mergeCell ref="BM138:BP141"/>
    <mergeCell ref="U140:AB141"/>
    <mergeCell ref="AC140:AJ141"/>
    <mergeCell ref="AC135:AJ136"/>
    <mergeCell ref="AM135:BB144"/>
    <mergeCell ref="D87:M90"/>
    <mergeCell ref="N87:Q90"/>
    <mergeCell ref="U87:AB88"/>
    <mergeCell ref="AC87:AJ88"/>
    <mergeCell ref="AM87:BB96"/>
    <mergeCell ref="D93:M96"/>
    <mergeCell ref="N93:Q96"/>
    <mergeCell ref="U94:AB96"/>
    <mergeCell ref="AC94:AJ96"/>
    <mergeCell ref="U89:AB91"/>
    <mergeCell ref="BM70:BP72"/>
    <mergeCell ref="D44:M47"/>
    <mergeCell ref="N44:Q47"/>
    <mergeCell ref="D63:M66"/>
    <mergeCell ref="N63:Q66"/>
    <mergeCell ref="U63:AJ72"/>
    <mergeCell ref="D75:M78"/>
    <mergeCell ref="N75:Q78"/>
    <mergeCell ref="U75:AJ78"/>
    <mergeCell ref="AM75:BP78"/>
    <mergeCell ref="BE63:BH65"/>
    <mergeCell ref="BI63:BL65"/>
    <mergeCell ref="BM63:BP65"/>
    <mergeCell ref="AM66:AT68"/>
    <mergeCell ref="AU66:BB68"/>
    <mergeCell ref="BE66:BH69"/>
    <mergeCell ref="U8:AN10"/>
    <mergeCell ref="U11:AN13"/>
    <mergeCell ref="AO11:BE13"/>
    <mergeCell ref="AO8:BE10"/>
    <mergeCell ref="AM63:AT65"/>
    <mergeCell ref="AU63:BB65"/>
    <mergeCell ref="D69:M72"/>
    <mergeCell ref="N69:Q72"/>
    <mergeCell ref="AO44:BB44"/>
    <mergeCell ref="AO45:BB45"/>
    <mergeCell ref="AO46:BB46"/>
    <mergeCell ref="AO47:BB47"/>
    <mergeCell ref="AO48:BB48"/>
    <mergeCell ref="AM44:AN44"/>
    <mergeCell ref="BE39:BH42"/>
    <mergeCell ref="BE43:BH45"/>
    <mergeCell ref="D59:Q60"/>
    <mergeCell ref="R59:BB60"/>
    <mergeCell ref="AM42:AN42"/>
    <mergeCell ref="AM43:AN43"/>
    <mergeCell ref="AM45:AN45"/>
    <mergeCell ref="N36:Q39"/>
    <mergeCell ref="BE70:BH72"/>
    <mergeCell ref="AO42:BB42"/>
    <mergeCell ref="C8:T10"/>
    <mergeCell ref="BM114:BP117"/>
    <mergeCell ref="BI118:BL120"/>
    <mergeCell ref="BM118:BP120"/>
    <mergeCell ref="D24:J26"/>
    <mergeCell ref="K24:Q26"/>
    <mergeCell ref="D52:M55"/>
    <mergeCell ref="N52:Q55"/>
    <mergeCell ref="AR31:BB31"/>
    <mergeCell ref="Y23:AE23"/>
    <mergeCell ref="AF23:AL23"/>
    <mergeCell ref="AM23:AS23"/>
    <mergeCell ref="AT23:AZ23"/>
    <mergeCell ref="R24:X26"/>
    <mergeCell ref="Y24:AE26"/>
    <mergeCell ref="AF24:AL26"/>
    <mergeCell ref="BB20:BJ23"/>
    <mergeCell ref="BB24:BJ26"/>
    <mergeCell ref="U36:AJ47"/>
    <mergeCell ref="AM36:AT37"/>
    <mergeCell ref="BF8:BP10"/>
    <mergeCell ref="BF11:BP13"/>
    <mergeCell ref="AM24:AS26"/>
    <mergeCell ref="AT24:AZ26"/>
    <mergeCell ref="D18:AZ19"/>
    <mergeCell ref="D20:J23"/>
    <mergeCell ref="K20:Q23"/>
    <mergeCell ref="R20:X23"/>
    <mergeCell ref="Y20:AZ22"/>
    <mergeCell ref="D32:Q33"/>
    <mergeCell ref="R32:BB33"/>
    <mergeCell ref="AU36:BB37"/>
    <mergeCell ref="BE36:BH38"/>
    <mergeCell ref="D36:M39"/>
    <mergeCell ref="C275:BQ277"/>
    <mergeCell ref="D279:BP297"/>
    <mergeCell ref="BE87:BH89"/>
    <mergeCell ref="BI87:BL89"/>
    <mergeCell ref="BM87:BP89"/>
    <mergeCell ref="BM39:BP42"/>
    <mergeCell ref="BM43:BP45"/>
    <mergeCell ref="AR58:BB58"/>
    <mergeCell ref="AR81:BB82"/>
    <mergeCell ref="U52:AJ55"/>
    <mergeCell ref="AM52:BP55"/>
    <mergeCell ref="BI36:BL38"/>
    <mergeCell ref="BM36:BP38"/>
    <mergeCell ref="AM38:AT40"/>
    <mergeCell ref="AU38:BB40"/>
    <mergeCell ref="BE214:BH216"/>
    <mergeCell ref="BI214:BL216"/>
    <mergeCell ref="BM214:BP216"/>
    <mergeCell ref="BI39:BL42"/>
    <mergeCell ref="BI43:BL45"/>
    <mergeCell ref="BI66:BL69"/>
    <mergeCell ref="BM66:BP69"/>
    <mergeCell ref="BI70:BL72"/>
    <mergeCell ref="BM111:BP113"/>
    <mergeCell ref="BI114:BL117"/>
    <mergeCell ref="BE207:BH209"/>
    <mergeCell ref="BI207:BL209"/>
    <mergeCell ref="BM207:BP209"/>
    <mergeCell ref="BE210:BH213"/>
    <mergeCell ref="BI210:BL213"/>
    <mergeCell ref="BM210:BP213"/>
    <mergeCell ref="BE90:BH93"/>
    <mergeCell ref="BI90:BL93"/>
    <mergeCell ref="BM90:BP93"/>
    <mergeCell ref="BE94:BH96"/>
    <mergeCell ref="BI94:BL96"/>
    <mergeCell ref="BM94:BP96"/>
    <mergeCell ref="BE135:BH137"/>
    <mergeCell ref="BI135:BL137"/>
    <mergeCell ref="BM135:BP137"/>
    <mergeCell ref="BI190:BL192"/>
    <mergeCell ref="BM190:BP192"/>
  </mergeCells>
  <phoneticPr fontId="2"/>
  <conditionalFormatting sqref="A29:XFD30 A28:BI28 BR28:XFD28">
    <cfRule type="expression" dxfId="3"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52728-1963-47E4-964D-7DAA8CC26AF6}">
  <sheetPr>
    <pageSetUpPr fitToPage="1"/>
  </sheetPr>
  <dimension ref="A1:CE298"/>
  <sheetViews>
    <sheetView showZeros="0" zoomScale="55" zoomScaleNormal="55" workbookViewId="0">
      <selection activeCell="BB20" sqref="BB20:BJ23"/>
    </sheetView>
  </sheetViews>
  <sheetFormatPr defaultColWidth="2.875" defaultRowHeight="12.6" customHeight="1" x14ac:dyDescent="0.4"/>
  <cols>
    <col min="1" max="70" width="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63" t="s">
        <v>0</v>
      </c>
      <c r="D8" s="264"/>
      <c r="E8" s="264"/>
      <c r="F8" s="264"/>
      <c r="G8" s="264"/>
      <c r="H8" s="264"/>
      <c r="I8" s="264"/>
      <c r="J8" s="264"/>
      <c r="K8" s="264"/>
      <c r="L8" s="264"/>
      <c r="M8" s="264"/>
      <c r="N8" s="264"/>
      <c r="O8" s="264"/>
      <c r="P8" s="264"/>
      <c r="Q8" s="264"/>
      <c r="R8" s="264"/>
      <c r="S8" s="264"/>
      <c r="T8" s="264"/>
      <c r="U8" s="265" t="s">
        <v>1</v>
      </c>
      <c r="V8" s="266"/>
      <c r="W8" s="266"/>
      <c r="X8" s="266"/>
      <c r="Y8" s="266"/>
      <c r="Z8" s="266"/>
      <c r="AA8" s="266"/>
      <c r="AB8" s="266"/>
      <c r="AC8" s="266"/>
      <c r="AD8" s="266"/>
      <c r="AE8" s="266"/>
      <c r="AF8" s="266"/>
      <c r="AG8" s="266"/>
      <c r="AH8" s="266"/>
      <c r="AI8" s="266"/>
      <c r="AJ8" s="266"/>
      <c r="AK8" s="266"/>
      <c r="AL8" s="266"/>
      <c r="AM8" s="266"/>
      <c r="AN8" s="267"/>
      <c r="AO8" s="268" t="s">
        <v>2</v>
      </c>
      <c r="AP8" s="266"/>
      <c r="AQ8" s="266"/>
      <c r="AR8" s="266"/>
      <c r="AS8" s="266"/>
      <c r="AT8" s="266"/>
      <c r="AU8" s="266"/>
      <c r="AV8" s="266"/>
      <c r="AW8" s="266"/>
      <c r="AX8" s="266"/>
      <c r="AY8" s="266"/>
      <c r="AZ8" s="266"/>
      <c r="BA8" s="266"/>
      <c r="BB8" s="266"/>
      <c r="BC8" s="266"/>
      <c r="BD8" s="266"/>
      <c r="BE8" s="267"/>
      <c r="BF8" s="263" t="s">
        <v>3</v>
      </c>
      <c r="BG8" s="269"/>
      <c r="BH8" s="269"/>
      <c r="BI8" s="269"/>
      <c r="BJ8" s="269"/>
      <c r="BK8" s="269"/>
      <c r="BL8" s="269"/>
      <c r="BM8" s="269"/>
      <c r="BN8" s="269"/>
      <c r="BO8" s="269"/>
      <c r="BP8" s="269"/>
      <c r="BQ8" s="8"/>
    </row>
    <row r="9" spans="3:70" ht="15.6" customHeight="1" x14ac:dyDescent="0.4">
      <c r="C9" s="264"/>
      <c r="D9" s="264"/>
      <c r="E9" s="264"/>
      <c r="F9" s="264"/>
      <c r="G9" s="264"/>
      <c r="H9" s="264"/>
      <c r="I9" s="264"/>
      <c r="J9" s="264"/>
      <c r="K9" s="264"/>
      <c r="L9" s="264"/>
      <c r="M9" s="264"/>
      <c r="N9" s="264"/>
      <c r="O9" s="264"/>
      <c r="P9" s="264"/>
      <c r="Q9" s="264"/>
      <c r="R9" s="264"/>
      <c r="S9" s="264"/>
      <c r="T9" s="264"/>
      <c r="U9" s="219"/>
      <c r="V9" s="217"/>
      <c r="W9" s="217"/>
      <c r="X9" s="217"/>
      <c r="Y9" s="217"/>
      <c r="Z9" s="217"/>
      <c r="AA9" s="217"/>
      <c r="AB9" s="217"/>
      <c r="AC9" s="217"/>
      <c r="AD9" s="217"/>
      <c r="AE9" s="217"/>
      <c r="AF9" s="217"/>
      <c r="AG9" s="217"/>
      <c r="AH9" s="217"/>
      <c r="AI9" s="217"/>
      <c r="AJ9" s="217"/>
      <c r="AK9" s="217"/>
      <c r="AL9" s="217"/>
      <c r="AM9" s="217"/>
      <c r="AN9" s="218"/>
      <c r="AO9" s="219"/>
      <c r="AP9" s="217"/>
      <c r="AQ9" s="217"/>
      <c r="AR9" s="217"/>
      <c r="AS9" s="217"/>
      <c r="AT9" s="217"/>
      <c r="AU9" s="217"/>
      <c r="AV9" s="217"/>
      <c r="AW9" s="217"/>
      <c r="AX9" s="217"/>
      <c r="AY9" s="217"/>
      <c r="AZ9" s="217"/>
      <c r="BA9" s="217"/>
      <c r="BB9" s="217"/>
      <c r="BC9" s="217"/>
      <c r="BD9" s="217"/>
      <c r="BE9" s="218"/>
      <c r="BF9" s="269"/>
      <c r="BG9" s="269"/>
      <c r="BH9" s="269"/>
      <c r="BI9" s="269"/>
      <c r="BJ9" s="269"/>
      <c r="BK9" s="269"/>
      <c r="BL9" s="269"/>
      <c r="BM9" s="269"/>
      <c r="BN9" s="269"/>
      <c r="BO9" s="269"/>
      <c r="BP9" s="269"/>
      <c r="BQ9" s="8"/>
    </row>
    <row r="10" spans="3:70" ht="15.6" customHeight="1" x14ac:dyDescent="0.4">
      <c r="C10" s="264"/>
      <c r="D10" s="264"/>
      <c r="E10" s="264"/>
      <c r="F10" s="264"/>
      <c r="G10" s="264"/>
      <c r="H10" s="264"/>
      <c r="I10" s="264"/>
      <c r="J10" s="264"/>
      <c r="K10" s="264"/>
      <c r="L10" s="264"/>
      <c r="M10" s="264"/>
      <c r="N10" s="264"/>
      <c r="O10" s="264"/>
      <c r="P10" s="264"/>
      <c r="Q10" s="264"/>
      <c r="R10" s="264"/>
      <c r="S10" s="264"/>
      <c r="T10" s="264"/>
      <c r="U10" s="220"/>
      <c r="V10" s="221"/>
      <c r="W10" s="221"/>
      <c r="X10" s="221"/>
      <c r="Y10" s="221"/>
      <c r="Z10" s="221"/>
      <c r="AA10" s="221"/>
      <c r="AB10" s="221"/>
      <c r="AC10" s="221"/>
      <c r="AD10" s="221"/>
      <c r="AE10" s="221"/>
      <c r="AF10" s="221"/>
      <c r="AG10" s="221"/>
      <c r="AH10" s="221"/>
      <c r="AI10" s="221"/>
      <c r="AJ10" s="221"/>
      <c r="AK10" s="221"/>
      <c r="AL10" s="221"/>
      <c r="AM10" s="221"/>
      <c r="AN10" s="222"/>
      <c r="AO10" s="220"/>
      <c r="AP10" s="221"/>
      <c r="AQ10" s="221"/>
      <c r="AR10" s="221"/>
      <c r="AS10" s="221"/>
      <c r="AT10" s="221"/>
      <c r="AU10" s="221"/>
      <c r="AV10" s="221"/>
      <c r="AW10" s="221"/>
      <c r="AX10" s="221"/>
      <c r="AY10" s="221"/>
      <c r="AZ10" s="221"/>
      <c r="BA10" s="221"/>
      <c r="BB10" s="221"/>
      <c r="BC10" s="221"/>
      <c r="BD10" s="221"/>
      <c r="BE10" s="222"/>
      <c r="BF10" s="269"/>
      <c r="BG10" s="269"/>
      <c r="BH10" s="269"/>
      <c r="BI10" s="269"/>
      <c r="BJ10" s="269"/>
      <c r="BK10" s="269"/>
      <c r="BL10" s="269"/>
      <c r="BM10" s="269"/>
      <c r="BN10" s="269"/>
      <c r="BO10" s="269"/>
      <c r="BP10" s="269"/>
      <c r="BQ10" s="8"/>
    </row>
    <row r="11" spans="3:70" ht="15.6" customHeight="1" x14ac:dyDescent="0.4">
      <c r="C11" s="270" t="str">
        <f>IF(COUNTIF([5]回答表!K15,"*")&gt;0,[5]回答表!K15,"")</f>
        <v>大館市</v>
      </c>
      <c r="D11" s="264"/>
      <c r="E11" s="264"/>
      <c r="F11" s="264"/>
      <c r="G11" s="264"/>
      <c r="H11" s="264"/>
      <c r="I11" s="264"/>
      <c r="J11" s="264"/>
      <c r="K11" s="264"/>
      <c r="L11" s="264"/>
      <c r="M11" s="264"/>
      <c r="N11" s="264"/>
      <c r="O11" s="264"/>
      <c r="P11" s="264"/>
      <c r="Q11" s="264"/>
      <c r="R11" s="264"/>
      <c r="S11" s="264"/>
      <c r="T11" s="264"/>
      <c r="U11" s="271" t="str">
        <f>IF(COUNTIF([5]回答表!F17,"*")&gt;0,[5]回答表!F17,"")</f>
        <v>介護サービス事業</v>
      </c>
      <c r="V11" s="272"/>
      <c r="W11" s="272"/>
      <c r="X11" s="272"/>
      <c r="Y11" s="272"/>
      <c r="Z11" s="272"/>
      <c r="AA11" s="272"/>
      <c r="AB11" s="272"/>
      <c r="AC11" s="272"/>
      <c r="AD11" s="272"/>
      <c r="AE11" s="272"/>
      <c r="AF11" s="266"/>
      <c r="AG11" s="266"/>
      <c r="AH11" s="266"/>
      <c r="AI11" s="266"/>
      <c r="AJ11" s="266"/>
      <c r="AK11" s="266"/>
      <c r="AL11" s="266"/>
      <c r="AM11" s="266"/>
      <c r="AN11" s="267"/>
      <c r="AO11" s="277" t="str">
        <f>IF(COUNTIF([5]回答表!W17,"*")&gt;0,[5]回答表!W17,"")</f>
        <v>老人デイサービスセンター</v>
      </c>
      <c r="AP11" s="266"/>
      <c r="AQ11" s="266"/>
      <c r="AR11" s="266"/>
      <c r="AS11" s="266"/>
      <c r="AT11" s="266"/>
      <c r="AU11" s="266"/>
      <c r="AV11" s="266"/>
      <c r="AW11" s="266"/>
      <c r="AX11" s="266"/>
      <c r="AY11" s="266"/>
      <c r="AZ11" s="266"/>
      <c r="BA11" s="266"/>
      <c r="BB11" s="266"/>
      <c r="BC11" s="266"/>
      <c r="BD11" s="266"/>
      <c r="BE11" s="267"/>
      <c r="BF11" s="270" t="str">
        <f>IF(COUNTIF([5]回答表!F19,"*")&gt;0,[5]回答表!F19,"")</f>
        <v>介護サービス事業特別会計</v>
      </c>
      <c r="BG11" s="269"/>
      <c r="BH11" s="269"/>
      <c r="BI11" s="269"/>
      <c r="BJ11" s="269"/>
      <c r="BK11" s="269"/>
      <c r="BL11" s="269"/>
      <c r="BM11" s="269"/>
      <c r="BN11" s="269"/>
      <c r="BO11" s="269"/>
      <c r="BP11" s="269"/>
      <c r="BQ11" s="6"/>
    </row>
    <row r="12" spans="3:70" ht="15.6" customHeight="1" x14ac:dyDescent="0.4">
      <c r="C12" s="264"/>
      <c r="D12" s="264"/>
      <c r="E12" s="264"/>
      <c r="F12" s="264"/>
      <c r="G12" s="264"/>
      <c r="H12" s="264"/>
      <c r="I12" s="264"/>
      <c r="J12" s="264"/>
      <c r="K12" s="264"/>
      <c r="L12" s="264"/>
      <c r="M12" s="264"/>
      <c r="N12" s="264"/>
      <c r="O12" s="264"/>
      <c r="P12" s="264"/>
      <c r="Q12" s="264"/>
      <c r="R12" s="264"/>
      <c r="S12" s="264"/>
      <c r="T12" s="264"/>
      <c r="U12" s="273"/>
      <c r="V12" s="274"/>
      <c r="W12" s="274"/>
      <c r="X12" s="274"/>
      <c r="Y12" s="274"/>
      <c r="Z12" s="274"/>
      <c r="AA12" s="274"/>
      <c r="AB12" s="274"/>
      <c r="AC12" s="274"/>
      <c r="AD12" s="274"/>
      <c r="AE12" s="274"/>
      <c r="AF12" s="217"/>
      <c r="AG12" s="217"/>
      <c r="AH12" s="217"/>
      <c r="AI12" s="217"/>
      <c r="AJ12" s="217"/>
      <c r="AK12" s="217"/>
      <c r="AL12" s="217"/>
      <c r="AM12" s="217"/>
      <c r="AN12" s="218"/>
      <c r="AO12" s="219"/>
      <c r="AP12" s="217"/>
      <c r="AQ12" s="217"/>
      <c r="AR12" s="217"/>
      <c r="AS12" s="217"/>
      <c r="AT12" s="217"/>
      <c r="AU12" s="217"/>
      <c r="AV12" s="217"/>
      <c r="AW12" s="217"/>
      <c r="AX12" s="217"/>
      <c r="AY12" s="217"/>
      <c r="AZ12" s="217"/>
      <c r="BA12" s="217"/>
      <c r="BB12" s="217"/>
      <c r="BC12" s="217"/>
      <c r="BD12" s="217"/>
      <c r="BE12" s="218"/>
      <c r="BF12" s="269"/>
      <c r="BG12" s="269"/>
      <c r="BH12" s="269"/>
      <c r="BI12" s="269"/>
      <c r="BJ12" s="269"/>
      <c r="BK12" s="269"/>
      <c r="BL12" s="269"/>
      <c r="BM12" s="269"/>
      <c r="BN12" s="269"/>
      <c r="BO12" s="269"/>
      <c r="BP12" s="269"/>
      <c r="BQ12" s="6"/>
    </row>
    <row r="13" spans="3:70" ht="15.6" customHeight="1" x14ac:dyDescent="0.4">
      <c r="C13" s="264"/>
      <c r="D13" s="264"/>
      <c r="E13" s="264"/>
      <c r="F13" s="264"/>
      <c r="G13" s="264"/>
      <c r="H13" s="264"/>
      <c r="I13" s="264"/>
      <c r="J13" s="264"/>
      <c r="K13" s="264"/>
      <c r="L13" s="264"/>
      <c r="M13" s="264"/>
      <c r="N13" s="264"/>
      <c r="O13" s="264"/>
      <c r="P13" s="264"/>
      <c r="Q13" s="264"/>
      <c r="R13" s="264"/>
      <c r="S13" s="264"/>
      <c r="T13" s="264"/>
      <c r="U13" s="275"/>
      <c r="V13" s="276"/>
      <c r="W13" s="276"/>
      <c r="X13" s="276"/>
      <c r="Y13" s="276"/>
      <c r="Z13" s="276"/>
      <c r="AA13" s="276"/>
      <c r="AB13" s="276"/>
      <c r="AC13" s="276"/>
      <c r="AD13" s="276"/>
      <c r="AE13" s="276"/>
      <c r="AF13" s="221"/>
      <c r="AG13" s="221"/>
      <c r="AH13" s="221"/>
      <c r="AI13" s="221"/>
      <c r="AJ13" s="221"/>
      <c r="AK13" s="221"/>
      <c r="AL13" s="221"/>
      <c r="AM13" s="221"/>
      <c r="AN13" s="222"/>
      <c r="AO13" s="220"/>
      <c r="AP13" s="221"/>
      <c r="AQ13" s="221"/>
      <c r="AR13" s="221"/>
      <c r="AS13" s="221"/>
      <c r="AT13" s="221"/>
      <c r="AU13" s="221"/>
      <c r="AV13" s="221"/>
      <c r="AW13" s="221"/>
      <c r="AX13" s="221"/>
      <c r="AY13" s="221"/>
      <c r="AZ13" s="221"/>
      <c r="BA13" s="221"/>
      <c r="BB13" s="221"/>
      <c r="BC13" s="221"/>
      <c r="BD13" s="221"/>
      <c r="BE13" s="222"/>
      <c r="BF13" s="269"/>
      <c r="BG13" s="269"/>
      <c r="BH13" s="269"/>
      <c r="BI13" s="269"/>
      <c r="BJ13" s="269"/>
      <c r="BK13" s="269"/>
      <c r="BL13" s="269"/>
      <c r="BM13" s="269"/>
      <c r="BN13" s="269"/>
      <c r="BO13" s="269"/>
      <c r="BP13" s="269"/>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30" t="s">
        <v>4</v>
      </c>
      <c r="E18" s="231"/>
      <c r="F18" s="231"/>
      <c r="G18" s="231"/>
      <c r="H18" s="231"/>
      <c r="I18" s="231"/>
      <c r="J18" s="231"/>
      <c r="K18" s="231"/>
      <c r="L18" s="231"/>
      <c r="M18" s="231"/>
      <c r="N18" s="231"/>
      <c r="O18" s="231"/>
      <c r="P18" s="231"/>
      <c r="Q18" s="231"/>
      <c r="R18" s="231"/>
      <c r="S18" s="231"/>
      <c r="T18" s="231"/>
      <c r="U18" s="231"/>
      <c r="V18" s="231"/>
      <c r="W18" s="231"/>
      <c r="X18" s="231"/>
      <c r="Y18" s="231"/>
      <c r="Z18" s="231"/>
      <c r="AA18" s="231"/>
      <c r="AB18" s="231"/>
      <c r="AC18" s="231"/>
      <c r="AD18" s="231"/>
      <c r="AE18" s="231"/>
      <c r="AF18" s="231"/>
      <c r="AG18" s="231"/>
      <c r="AH18" s="231"/>
      <c r="AI18" s="231"/>
      <c r="AJ18" s="231"/>
      <c r="AK18" s="231"/>
      <c r="AL18" s="231"/>
      <c r="AM18" s="231"/>
      <c r="AN18" s="231"/>
      <c r="AO18" s="231"/>
      <c r="AP18" s="231"/>
      <c r="AQ18" s="231"/>
      <c r="AR18" s="231"/>
      <c r="AS18" s="231"/>
      <c r="AT18" s="231"/>
      <c r="AU18" s="231"/>
      <c r="AV18" s="231"/>
      <c r="AW18" s="231"/>
      <c r="AX18" s="231"/>
      <c r="AY18" s="231"/>
      <c r="AZ18" s="232"/>
      <c r="BA18" s="15"/>
      <c r="BB18" s="15"/>
      <c r="BC18" s="15"/>
      <c r="BD18" s="15"/>
      <c r="BE18" s="15"/>
      <c r="BF18" s="15"/>
      <c r="BG18" s="15"/>
      <c r="BH18" s="15"/>
      <c r="BI18" s="15"/>
      <c r="BJ18" s="15"/>
      <c r="BK18" s="16"/>
      <c r="BR18" s="13"/>
    </row>
    <row r="19" spans="3:83" ht="15.6" customHeight="1" x14ac:dyDescent="0.4">
      <c r="C19" s="14"/>
      <c r="D19" s="233"/>
      <c r="E19" s="234"/>
      <c r="F19" s="234"/>
      <c r="G19" s="234"/>
      <c r="H19" s="234"/>
      <c r="I19" s="234"/>
      <c r="J19" s="234"/>
      <c r="K19" s="234"/>
      <c r="L19" s="234"/>
      <c r="M19" s="234"/>
      <c r="N19" s="234"/>
      <c r="O19" s="234"/>
      <c r="P19" s="234"/>
      <c r="Q19" s="234"/>
      <c r="R19" s="234"/>
      <c r="S19" s="234"/>
      <c r="T19" s="234"/>
      <c r="U19" s="234"/>
      <c r="V19" s="234"/>
      <c r="W19" s="234"/>
      <c r="X19" s="234"/>
      <c r="Y19" s="234"/>
      <c r="Z19" s="234"/>
      <c r="AA19" s="234"/>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5"/>
      <c r="BA19" s="15"/>
      <c r="BB19" s="15"/>
      <c r="BC19" s="15"/>
      <c r="BD19" s="15"/>
      <c r="BE19" s="15"/>
      <c r="BF19" s="15"/>
      <c r="BG19" s="15"/>
      <c r="BH19" s="15"/>
      <c r="BI19" s="15"/>
      <c r="BJ19" s="15"/>
      <c r="BK19" s="16"/>
      <c r="BR19" s="13"/>
    </row>
    <row r="20" spans="3:83" ht="13.35" customHeight="1" x14ac:dyDescent="0.4">
      <c r="C20" s="14"/>
      <c r="D20" s="236" t="s">
        <v>5</v>
      </c>
      <c r="E20" s="237"/>
      <c r="F20" s="237"/>
      <c r="G20" s="237"/>
      <c r="H20" s="237"/>
      <c r="I20" s="237"/>
      <c r="J20" s="238"/>
      <c r="K20" s="236" t="s">
        <v>6</v>
      </c>
      <c r="L20" s="237"/>
      <c r="M20" s="237"/>
      <c r="N20" s="237"/>
      <c r="O20" s="237"/>
      <c r="P20" s="237"/>
      <c r="Q20" s="238"/>
      <c r="R20" s="236" t="s">
        <v>7</v>
      </c>
      <c r="S20" s="237"/>
      <c r="T20" s="237"/>
      <c r="U20" s="237"/>
      <c r="V20" s="237"/>
      <c r="W20" s="237"/>
      <c r="X20" s="238"/>
      <c r="Y20" s="245" t="s">
        <v>8</v>
      </c>
      <c r="Z20" s="246"/>
      <c r="AA20" s="246"/>
      <c r="AB20" s="246"/>
      <c r="AC20" s="246"/>
      <c r="AD20" s="246"/>
      <c r="AE20" s="246"/>
      <c r="AF20" s="246"/>
      <c r="AG20" s="246"/>
      <c r="AH20" s="246"/>
      <c r="AI20" s="246"/>
      <c r="AJ20" s="246"/>
      <c r="AK20" s="246"/>
      <c r="AL20" s="246"/>
      <c r="AM20" s="246"/>
      <c r="AN20" s="246"/>
      <c r="AO20" s="246"/>
      <c r="AP20" s="246"/>
      <c r="AQ20" s="246"/>
      <c r="AR20" s="246"/>
      <c r="AS20" s="246"/>
      <c r="AT20" s="246"/>
      <c r="AU20" s="246"/>
      <c r="AV20" s="246"/>
      <c r="AW20" s="246"/>
      <c r="AX20" s="246"/>
      <c r="AY20" s="246"/>
      <c r="AZ20" s="247"/>
      <c r="BA20" s="17"/>
      <c r="BB20" s="254" t="s">
        <v>9</v>
      </c>
      <c r="BC20" s="255"/>
      <c r="BD20" s="255"/>
      <c r="BE20" s="255"/>
      <c r="BF20" s="255"/>
      <c r="BG20" s="255"/>
      <c r="BH20" s="255"/>
      <c r="BI20" s="223"/>
      <c r="BJ20" s="224"/>
      <c r="BK20" s="16"/>
      <c r="BR20" s="18"/>
    </row>
    <row r="21" spans="3:83" ht="13.35" customHeight="1" x14ac:dyDescent="0.4">
      <c r="C21" s="14"/>
      <c r="D21" s="239"/>
      <c r="E21" s="240"/>
      <c r="F21" s="240"/>
      <c r="G21" s="240"/>
      <c r="H21" s="240"/>
      <c r="I21" s="240"/>
      <c r="J21" s="241"/>
      <c r="K21" s="239"/>
      <c r="L21" s="240"/>
      <c r="M21" s="240"/>
      <c r="N21" s="240"/>
      <c r="O21" s="240"/>
      <c r="P21" s="240"/>
      <c r="Q21" s="241"/>
      <c r="R21" s="239"/>
      <c r="S21" s="240"/>
      <c r="T21" s="240"/>
      <c r="U21" s="240"/>
      <c r="V21" s="240"/>
      <c r="W21" s="240"/>
      <c r="X21" s="241"/>
      <c r="Y21" s="248"/>
      <c r="Z21" s="249"/>
      <c r="AA21" s="249"/>
      <c r="AB21" s="249"/>
      <c r="AC21" s="249"/>
      <c r="AD21" s="249"/>
      <c r="AE21" s="249"/>
      <c r="AF21" s="249"/>
      <c r="AG21" s="249"/>
      <c r="AH21" s="249"/>
      <c r="AI21" s="249"/>
      <c r="AJ21" s="249"/>
      <c r="AK21" s="249"/>
      <c r="AL21" s="249"/>
      <c r="AM21" s="249"/>
      <c r="AN21" s="249"/>
      <c r="AO21" s="249"/>
      <c r="AP21" s="249"/>
      <c r="AQ21" s="249"/>
      <c r="AR21" s="249"/>
      <c r="AS21" s="249"/>
      <c r="AT21" s="249"/>
      <c r="AU21" s="249"/>
      <c r="AV21" s="249"/>
      <c r="AW21" s="249"/>
      <c r="AX21" s="249"/>
      <c r="AY21" s="249"/>
      <c r="AZ21" s="250"/>
      <c r="BA21" s="17"/>
      <c r="BB21" s="256"/>
      <c r="BC21" s="257"/>
      <c r="BD21" s="257"/>
      <c r="BE21" s="257"/>
      <c r="BF21" s="257"/>
      <c r="BG21" s="257"/>
      <c r="BH21" s="257"/>
      <c r="BI21" s="225"/>
      <c r="BJ21" s="226"/>
      <c r="BK21" s="16"/>
      <c r="BR21" s="18"/>
    </row>
    <row r="22" spans="3:83" ht="13.35" customHeight="1" x14ac:dyDescent="0.4">
      <c r="C22" s="14"/>
      <c r="D22" s="239"/>
      <c r="E22" s="240"/>
      <c r="F22" s="240"/>
      <c r="G22" s="240"/>
      <c r="H22" s="240"/>
      <c r="I22" s="240"/>
      <c r="J22" s="241"/>
      <c r="K22" s="239"/>
      <c r="L22" s="240"/>
      <c r="M22" s="240"/>
      <c r="N22" s="240"/>
      <c r="O22" s="240"/>
      <c r="P22" s="240"/>
      <c r="Q22" s="241"/>
      <c r="R22" s="239"/>
      <c r="S22" s="240"/>
      <c r="T22" s="240"/>
      <c r="U22" s="240"/>
      <c r="V22" s="240"/>
      <c r="W22" s="240"/>
      <c r="X22" s="241"/>
      <c r="Y22" s="251"/>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3"/>
      <c r="BA22" s="19"/>
      <c r="BB22" s="256"/>
      <c r="BC22" s="257"/>
      <c r="BD22" s="257"/>
      <c r="BE22" s="257"/>
      <c r="BF22" s="257"/>
      <c r="BG22" s="257"/>
      <c r="BH22" s="257"/>
      <c r="BI22" s="225"/>
      <c r="BJ22" s="226"/>
      <c r="BK22" s="16"/>
      <c r="BR22" s="18"/>
    </row>
    <row r="23" spans="3:83" ht="31.35" customHeight="1" x14ac:dyDescent="0.4">
      <c r="C23" s="14"/>
      <c r="D23" s="242"/>
      <c r="E23" s="243"/>
      <c r="F23" s="243"/>
      <c r="G23" s="243"/>
      <c r="H23" s="243"/>
      <c r="I23" s="243"/>
      <c r="J23" s="244"/>
      <c r="K23" s="242"/>
      <c r="L23" s="243"/>
      <c r="M23" s="243"/>
      <c r="N23" s="243"/>
      <c r="O23" s="243"/>
      <c r="P23" s="243"/>
      <c r="Q23" s="244"/>
      <c r="R23" s="242"/>
      <c r="S23" s="243"/>
      <c r="T23" s="243"/>
      <c r="U23" s="243"/>
      <c r="V23" s="243"/>
      <c r="W23" s="243"/>
      <c r="X23" s="244"/>
      <c r="Y23" s="260" t="s">
        <v>10</v>
      </c>
      <c r="Z23" s="261"/>
      <c r="AA23" s="261"/>
      <c r="AB23" s="261"/>
      <c r="AC23" s="261"/>
      <c r="AD23" s="261"/>
      <c r="AE23" s="262"/>
      <c r="AF23" s="260" t="s">
        <v>11</v>
      </c>
      <c r="AG23" s="261"/>
      <c r="AH23" s="261"/>
      <c r="AI23" s="261"/>
      <c r="AJ23" s="261"/>
      <c r="AK23" s="261"/>
      <c r="AL23" s="262"/>
      <c r="AM23" s="260" t="s">
        <v>12</v>
      </c>
      <c r="AN23" s="261"/>
      <c r="AO23" s="261"/>
      <c r="AP23" s="261"/>
      <c r="AQ23" s="261"/>
      <c r="AR23" s="261"/>
      <c r="AS23" s="262"/>
      <c r="AT23" s="260" t="s">
        <v>13</v>
      </c>
      <c r="AU23" s="261"/>
      <c r="AV23" s="261"/>
      <c r="AW23" s="261"/>
      <c r="AX23" s="261"/>
      <c r="AY23" s="261"/>
      <c r="AZ23" s="262"/>
      <c r="BA23" s="19"/>
      <c r="BB23" s="258"/>
      <c r="BC23" s="259"/>
      <c r="BD23" s="259"/>
      <c r="BE23" s="259"/>
      <c r="BF23" s="259"/>
      <c r="BG23" s="259"/>
      <c r="BH23" s="259"/>
      <c r="BI23" s="227"/>
      <c r="BJ23" s="228"/>
      <c r="BK23" s="16"/>
      <c r="BR23" s="18"/>
    </row>
    <row r="24" spans="3:83" ht="15.6" customHeight="1" x14ac:dyDescent="0.4">
      <c r="C24" s="14"/>
      <c r="D24" s="121" t="str">
        <f>IF([5]回答表!R41="○","○","")</f>
        <v/>
      </c>
      <c r="E24" s="122"/>
      <c r="F24" s="122"/>
      <c r="G24" s="122"/>
      <c r="H24" s="122"/>
      <c r="I24" s="122"/>
      <c r="J24" s="123"/>
      <c r="K24" s="121" t="str">
        <f>IF([5]回答表!R42="○","○","")</f>
        <v>○</v>
      </c>
      <c r="L24" s="122"/>
      <c r="M24" s="122"/>
      <c r="N24" s="122"/>
      <c r="O24" s="122"/>
      <c r="P24" s="122"/>
      <c r="Q24" s="123"/>
      <c r="R24" s="121" t="str">
        <f>IF([5]回答表!R43="○","○","")</f>
        <v/>
      </c>
      <c r="S24" s="122"/>
      <c r="T24" s="122"/>
      <c r="U24" s="122"/>
      <c r="V24" s="122"/>
      <c r="W24" s="122"/>
      <c r="X24" s="123"/>
      <c r="Y24" s="121" t="str">
        <f>IF([5]回答表!R44="○","○","")</f>
        <v>○</v>
      </c>
      <c r="Z24" s="122"/>
      <c r="AA24" s="122"/>
      <c r="AB24" s="122"/>
      <c r="AC24" s="122"/>
      <c r="AD24" s="122"/>
      <c r="AE24" s="123"/>
      <c r="AF24" s="121" t="str">
        <f>IF([5]回答表!R45="○","○","")</f>
        <v/>
      </c>
      <c r="AG24" s="122"/>
      <c r="AH24" s="122"/>
      <c r="AI24" s="122"/>
      <c r="AJ24" s="122"/>
      <c r="AK24" s="122"/>
      <c r="AL24" s="123"/>
      <c r="AM24" s="121" t="str">
        <f>IF([5]回答表!R46="○","○","")</f>
        <v/>
      </c>
      <c r="AN24" s="122"/>
      <c r="AO24" s="122"/>
      <c r="AP24" s="122"/>
      <c r="AQ24" s="122"/>
      <c r="AR24" s="122"/>
      <c r="AS24" s="123"/>
      <c r="AT24" s="121" t="str">
        <f>IF([5]回答表!R47="○","○","")</f>
        <v/>
      </c>
      <c r="AU24" s="122"/>
      <c r="AV24" s="122"/>
      <c r="AW24" s="122"/>
      <c r="AX24" s="122"/>
      <c r="AY24" s="122"/>
      <c r="AZ24" s="123"/>
      <c r="BA24" s="19"/>
      <c r="BB24" s="118" t="str">
        <f>IF([5]回答表!R48="○","○","")</f>
        <v/>
      </c>
      <c r="BC24" s="119"/>
      <c r="BD24" s="119"/>
      <c r="BE24" s="119"/>
      <c r="BF24" s="119"/>
      <c r="BG24" s="119"/>
      <c r="BH24" s="119"/>
      <c r="BI24" s="223"/>
      <c r="BJ24" s="224"/>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25"/>
      <c r="BJ25" s="226"/>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27"/>
      <c r="BJ26" s="228"/>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IF([5]回答表!X41="○","○","")</f>
        <v/>
      </c>
      <c r="O36" s="98"/>
      <c r="P36" s="98"/>
      <c r="Q36" s="99"/>
      <c r="R36" s="39"/>
      <c r="S36" s="39"/>
      <c r="T36" s="39"/>
      <c r="U36" s="106" t="str">
        <f>IF([5]回答表!X41="○",[5]回答表!B56,IF([5]回答表!AA41="○",[5]回答表!B76,""))</f>
        <v/>
      </c>
      <c r="V36" s="107"/>
      <c r="W36" s="107"/>
      <c r="X36" s="107"/>
      <c r="Y36" s="107"/>
      <c r="Z36" s="107"/>
      <c r="AA36" s="107"/>
      <c r="AB36" s="107"/>
      <c r="AC36" s="107"/>
      <c r="AD36" s="107"/>
      <c r="AE36" s="107"/>
      <c r="AF36" s="107"/>
      <c r="AG36" s="107"/>
      <c r="AH36" s="107"/>
      <c r="AI36" s="107"/>
      <c r="AJ36" s="108"/>
      <c r="AK36" s="50"/>
      <c r="AL36" s="50"/>
      <c r="AM36" s="229" t="s">
        <v>19</v>
      </c>
      <c r="AN36" s="229"/>
      <c r="AO36" s="229"/>
      <c r="AP36" s="229"/>
      <c r="AQ36" s="229"/>
      <c r="AR36" s="229"/>
      <c r="AS36" s="229"/>
      <c r="AT36" s="229"/>
      <c r="AU36" s="229" t="s">
        <v>20</v>
      </c>
      <c r="AV36" s="229"/>
      <c r="AW36" s="229"/>
      <c r="AX36" s="229"/>
      <c r="AY36" s="229"/>
      <c r="AZ36" s="229"/>
      <c r="BA36" s="229"/>
      <c r="BB36" s="229"/>
      <c r="BC36" s="40"/>
      <c r="BD36" s="35"/>
      <c r="BE36" s="115" t="str">
        <f>IF([5]回答表!X41="○",[5]回答表!S62,IF([5]回答表!AA41="○",[5]回答表!S82,""))</f>
        <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29"/>
      <c r="AN37" s="229"/>
      <c r="AO37" s="229"/>
      <c r="AP37" s="229"/>
      <c r="AQ37" s="229"/>
      <c r="AR37" s="229"/>
      <c r="AS37" s="229"/>
      <c r="AT37" s="229"/>
      <c r="AU37" s="229"/>
      <c r="AV37" s="229"/>
      <c r="AW37" s="229"/>
      <c r="AX37" s="229"/>
      <c r="AY37" s="229"/>
      <c r="AZ37" s="229"/>
      <c r="BA37" s="229"/>
      <c r="BB37" s="229"/>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IF([5]回答表!X41="○",[5]回答表!G62,IF([5]回答表!AA41="○",[5]回答表!G82,""))</f>
        <v/>
      </c>
      <c r="AN38" s="119"/>
      <c r="AO38" s="119"/>
      <c r="AP38" s="119"/>
      <c r="AQ38" s="119"/>
      <c r="AR38" s="119"/>
      <c r="AS38" s="119"/>
      <c r="AT38" s="120"/>
      <c r="AU38" s="118" t="str">
        <f>IF([5]回答表!X41="○",[5]回答表!G63,IF([5]回答表!AA41="○",[5]回答表!G83,""))</f>
        <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t="str">
        <f>IF([5]回答表!X41="○",[5]回答表!V62,IF([5]回答表!AA41="○",[5]回答表!V82,""))</f>
        <v/>
      </c>
      <c r="BF39" s="217"/>
      <c r="BG39" s="217"/>
      <c r="BH39" s="218"/>
      <c r="BI39" s="82" t="str">
        <f>IF([5]回答表!X41="○",[5]回答表!V63,IF([5]回答表!AA41="○",[5]回答表!V83,""))</f>
        <v/>
      </c>
      <c r="BJ39" s="217"/>
      <c r="BK39" s="217"/>
      <c r="BL39" s="218"/>
      <c r="BM39" s="82" t="str">
        <f>IF([5]回答表!X41="○",[5]回答表!V64,IF([5]回答表!AA41="○",[5]回答表!V84,""))</f>
        <v/>
      </c>
      <c r="BN39" s="217"/>
      <c r="BO39" s="217"/>
      <c r="BP39" s="218"/>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19"/>
      <c r="BF40" s="217"/>
      <c r="BG40" s="217"/>
      <c r="BH40" s="218"/>
      <c r="BI40" s="219"/>
      <c r="BJ40" s="217"/>
      <c r="BK40" s="217"/>
      <c r="BL40" s="218"/>
      <c r="BM40" s="219"/>
      <c r="BN40" s="217"/>
      <c r="BO40" s="217"/>
      <c r="BP40" s="218"/>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19"/>
      <c r="BF41" s="217"/>
      <c r="BG41" s="217"/>
      <c r="BH41" s="218"/>
      <c r="BI41" s="219"/>
      <c r="BJ41" s="217"/>
      <c r="BK41" s="217"/>
      <c r="BL41" s="218"/>
      <c r="BM41" s="219"/>
      <c r="BN41" s="217"/>
      <c r="BO41" s="217"/>
      <c r="BP41" s="218"/>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215" t="str">
        <f>IF([5]回答表!X41="○",[5]回答表!O68,IF([5]回答表!AA41="○",[5]回答表!O88,""))</f>
        <v/>
      </c>
      <c r="AN42" s="216"/>
      <c r="AO42" s="213" t="s">
        <v>21</v>
      </c>
      <c r="AP42" s="213"/>
      <c r="AQ42" s="213"/>
      <c r="AR42" s="213"/>
      <c r="AS42" s="213"/>
      <c r="AT42" s="213"/>
      <c r="AU42" s="213"/>
      <c r="AV42" s="213"/>
      <c r="AW42" s="213"/>
      <c r="AX42" s="213"/>
      <c r="AY42" s="213"/>
      <c r="AZ42" s="213"/>
      <c r="BA42" s="213"/>
      <c r="BB42" s="214"/>
      <c r="BC42" s="40"/>
      <c r="BD42" s="40"/>
      <c r="BE42" s="219"/>
      <c r="BF42" s="217"/>
      <c r="BG42" s="217"/>
      <c r="BH42" s="218"/>
      <c r="BI42" s="219"/>
      <c r="BJ42" s="217"/>
      <c r="BK42" s="217"/>
      <c r="BL42" s="218"/>
      <c r="BM42" s="219"/>
      <c r="BN42" s="217"/>
      <c r="BO42" s="217"/>
      <c r="BP42" s="218"/>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215" t="str">
        <f>IF([5]回答表!X41="○",[5]回答表!O69,IF([5]回答表!AA41="○",[5]回答表!O89,""))</f>
        <v/>
      </c>
      <c r="AN43" s="216"/>
      <c r="AO43" s="213" t="s">
        <v>22</v>
      </c>
      <c r="AP43" s="213"/>
      <c r="AQ43" s="213"/>
      <c r="AR43" s="213"/>
      <c r="AS43" s="213"/>
      <c r="AT43" s="213"/>
      <c r="AU43" s="213"/>
      <c r="AV43" s="213"/>
      <c r="AW43" s="213"/>
      <c r="AX43" s="213"/>
      <c r="AY43" s="213"/>
      <c r="AZ43" s="213"/>
      <c r="BA43" s="213"/>
      <c r="BB43" s="214"/>
      <c r="BC43" s="40"/>
      <c r="BD43" s="35"/>
      <c r="BE43" s="82" t="s">
        <v>23</v>
      </c>
      <c r="BF43" s="217"/>
      <c r="BG43" s="217"/>
      <c r="BH43" s="218"/>
      <c r="BI43" s="82" t="s">
        <v>24</v>
      </c>
      <c r="BJ43" s="217"/>
      <c r="BK43" s="217"/>
      <c r="BL43" s="218"/>
      <c r="BM43" s="82" t="s">
        <v>25</v>
      </c>
      <c r="BN43" s="217"/>
      <c r="BO43" s="217"/>
      <c r="BP43" s="218"/>
      <c r="BQ43" s="38"/>
      <c r="BR43" s="25"/>
    </row>
    <row r="44" spans="1:70" ht="15.6" customHeight="1" x14ac:dyDescent="0.4">
      <c r="A44" s="25"/>
      <c r="B44" s="25"/>
      <c r="C44" s="33"/>
      <c r="D44" s="140" t="s">
        <v>26</v>
      </c>
      <c r="E44" s="141"/>
      <c r="F44" s="141"/>
      <c r="G44" s="141"/>
      <c r="H44" s="141"/>
      <c r="I44" s="141"/>
      <c r="J44" s="141"/>
      <c r="K44" s="141"/>
      <c r="L44" s="141"/>
      <c r="M44" s="142"/>
      <c r="N44" s="97" t="str">
        <f>IF([5]回答表!AA41="○","○","")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215" t="str">
        <f>IF([5]回答表!X41="○",[5]回答表!O70,IF([5]回答表!AA41="○",[5]回答表!O90,""))</f>
        <v/>
      </c>
      <c r="AN44" s="216"/>
      <c r="AO44" s="213" t="s">
        <v>27</v>
      </c>
      <c r="AP44" s="213"/>
      <c r="AQ44" s="213"/>
      <c r="AR44" s="213"/>
      <c r="AS44" s="213"/>
      <c r="AT44" s="213"/>
      <c r="AU44" s="213"/>
      <c r="AV44" s="213"/>
      <c r="AW44" s="213"/>
      <c r="AX44" s="213"/>
      <c r="AY44" s="213"/>
      <c r="AZ44" s="213"/>
      <c r="BA44" s="213"/>
      <c r="BB44" s="214"/>
      <c r="BC44" s="40"/>
      <c r="BD44" s="54"/>
      <c r="BE44" s="219"/>
      <c r="BF44" s="217"/>
      <c r="BG44" s="217"/>
      <c r="BH44" s="218"/>
      <c r="BI44" s="219"/>
      <c r="BJ44" s="217"/>
      <c r="BK44" s="217"/>
      <c r="BL44" s="218"/>
      <c r="BM44" s="219"/>
      <c r="BN44" s="217"/>
      <c r="BO44" s="217"/>
      <c r="BP44" s="218"/>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215" t="str">
        <f>IF([5]回答表!X41="○",[5]回答表!O71,IF([5]回答表!AA41="○",[5]回答表!O91,""))</f>
        <v/>
      </c>
      <c r="AN45" s="216"/>
      <c r="AO45" s="213" t="s">
        <v>28</v>
      </c>
      <c r="AP45" s="213"/>
      <c r="AQ45" s="213"/>
      <c r="AR45" s="213"/>
      <c r="AS45" s="213"/>
      <c r="AT45" s="213"/>
      <c r="AU45" s="213"/>
      <c r="AV45" s="213"/>
      <c r="AW45" s="213"/>
      <c r="AX45" s="213"/>
      <c r="AY45" s="213"/>
      <c r="AZ45" s="213"/>
      <c r="BA45" s="213"/>
      <c r="BB45" s="214"/>
      <c r="BC45" s="40"/>
      <c r="BD45" s="54"/>
      <c r="BE45" s="220"/>
      <c r="BF45" s="221"/>
      <c r="BG45" s="221"/>
      <c r="BH45" s="222"/>
      <c r="BI45" s="220"/>
      <c r="BJ45" s="221"/>
      <c r="BK45" s="221"/>
      <c r="BL45" s="222"/>
      <c r="BM45" s="220"/>
      <c r="BN45" s="221"/>
      <c r="BO45" s="221"/>
      <c r="BP45" s="222"/>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215" t="str">
        <f>IF([5]回答表!X41="○",[5]回答表!AG68,IF([5]回答表!AA41="○",[5]回答表!AG88,""))</f>
        <v/>
      </c>
      <c r="AN46" s="216"/>
      <c r="AO46" s="213" t="s">
        <v>29</v>
      </c>
      <c r="AP46" s="213"/>
      <c r="AQ46" s="213"/>
      <c r="AR46" s="213"/>
      <c r="AS46" s="213"/>
      <c r="AT46" s="213"/>
      <c r="AU46" s="213"/>
      <c r="AV46" s="213"/>
      <c r="AW46" s="213"/>
      <c r="AX46" s="213"/>
      <c r="AY46" s="213"/>
      <c r="AZ46" s="213"/>
      <c r="BA46" s="213"/>
      <c r="BB46" s="214"/>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215" t="str">
        <f>IF([5]回答表!X41="○",[5]回答表!AG69,IF([5]回答表!AA41="○",[5]回答表!AG89,""))</f>
        <v/>
      </c>
      <c r="AN47" s="216"/>
      <c r="AO47" s="213" t="s">
        <v>30</v>
      </c>
      <c r="AP47" s="213"/>
      <c r="AQ47" s="213"/>
      <c r="AR47" s="213"/>
      <c r="AS47" s="213"/>
      <c r="AT47" s="213"/>
      <c r="AU47" s="213"/>
      <c r="AV47" s="213"/>
      <c r="AW47" s="213"/>
      <c r="AX47" s="213"/>
      <c r="AY47" s="213"/>
      <c r="AZ47" s="213"/>
      <c r="BA47" s="213"/>
      <c r="BB47" s="214"/>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215" t="str">
        <f>IF([5]回答表!X41="○",[5]回答表!AG70,IF([5]回答表!AA41="○",[5]回答表!AG90,""))</f>
        <v/>
      </c>
      <c r="AN48" s="216"/>
      <c r="AO48" s="213" t="s">
        <v>31</v>
      </c>
      <c r="AP48" s="213"/>
      <c r="AQ48" s="213"/>
      <c r="AR48" s="213"/>
      <c r="AS48" s="213"/>
      <c r="AT48" s="213"/>
      <c r="AU48" s="213"/>
      <c r="AV48" s="213"/>
      <c r="AW48" s="213"/>
      <c r="AX48" s="213"/>
      <c r="AY48" s="213"/>
      <c r="AZ48" s="213"/>
      <c r="BA48" s="213"/>
      <c r="BB48" s="214"/>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IF([5]回答表!AD41="○","○","")</f>
        <v/>
      </c>
      <c r="O52" s="98"/>
      <c r="P52" s="98"/>
      <c r="Q52" s="99"/>
      <c r="R52" s="39"/>
      <c r="S52" s="39"/>
      <c r="T52" s="39"/>
      <c r="U52" s="106" t="str">
        <f>IF([5]回答表!AD41="○",[5]回答表!B96,"")</f>
        <v/>
      </c>
      <c r="V52" s="107"/>
      <c r="W52" s="107"/>
      <c r="X52" s="107"/>
      <c r="Y52" s="107"/>
      <c r="Z52" s="107"/>
      <c r="AA52" s="107"/>
      <c r="AB52" s="107"/>
      <c r="AC52" s="107"/>
      <c r="AD52" s="107"/>
      <c r="AE52" s="107"/>
      <c r="AF52" s="107"/>
      <c r="AG52" s="107"/>
      <c r="AH52" s="107"/>
      <c r="AI52" s="107"/>
      <c r="AJ52" s="108"/>
      <c r="AK52" s="56"/>
      <c r="AL52" s="56"/>
      <c r="AM52" s="106" t="str">
        <f>IF([5]回答表!AD41="○",[5]回答表!B101,"")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IF([5]回答表!X42="○","○","")</f>
        <v/>
      </c>
      <c r="O63" s="98"/>
      <c r="P63" s="98"/>
      <c r="Q63" s="99"/>
      <c r="R63" s="39"/>
      <c r="S63" s="39"/>
      <c r="T63" s="39"/>
      <c r="U63" s="106" t="str">
        <f>IF([5]回答表!X42="○",[5]回答表!B111,IF([5]回答表!AA42="○",[5]回答表!B124,""))</f>
        <v/>
      </c>
      <c r="V63" s="107"/>
      <c r="W63" s="107"/>
      <c r="X63" s="107"/>
      <c r="Y63" s="107"/>
      <c r="Z63" s="107"/>
      <c r="AA63" s="107"/>
      <c r="AB63" s="107"/>
      <c r="AC63" s="107"/>
      <c r="AD63" s="107"/>
      <c r="AE63" s="107"/>
      <c r="AF63" s="107"/>
      <c r="AG63" s="107"/>
      <c r="AH63" s="107"/>
      <c r="AI63" s="107"/>
      <c r="AJ63" s="108"/>
      <c r="AK63" s="50"/>
      <c r="AL63" s="50"/>
      <c r="AM63" s="212" t="s">
        <v>37</v>
      </c>
      <c r="AN63" s="212"/>
      <c r="AO63" s="212"/>
      <c r="AP63" s="212"/>
      <c r="AQ63" s="212"/>
      <c r="AR63" s="212"/>
      <c r="AS63" s="212"/>
      <c r="AT63" s="212"/>
      <c r="AU63" s="212" t="s">
        <v>38</v>
      </c>
      <c r="AV63" s="212"/>
      <c r="AW63" s="212"/>
      <c r="AX63" s="212"/>
      <c r="AY63" s="212"/>
      <c r="AZ63" s="212"/>
      <c r="BA63" s="212"/>
      <c r="BB63" s="212"/>
      <c r="BC63" s="40"/>
      <c r="BD63" s="35"/>
      <c r="BE63" s="115" t="str">
        <f>IF([5]回答表!X42="○",[5]回答表!S117,IF([5]回答表!AA42="○",[5]回答表!S130,""))</f>
        <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212"/>
      <c r="AN64" s="212"/>
      <c r="AO64" s="212"/>
      <c r="AP64" s="212"/>
      <c r="AQ64" s="212"/>
      <c r="AR64" s="212"/>
      <c r="AS64" s="212"/>
      <c r="AT64" s="212"/>
      <c r="AU64" s="212"/>
      <c r="AV64" s="212"/>
      <c r="AW64" s="212"/>
      <c r="AX64" s="212"/>
      <c r="AY64" s="212"/>
      <c r="AZ64" s="212"/>
      <c r="BA64" s="212"/>
      <c r="BB64" s="212"/>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212"/>
      <c r="AN65" s="212"/>
      <c r="AO65" s="212"/>
      <c r="AP65" s="212"/>
      <c r="AQ65" s="212"/>
      <c r="AR65" s="212"/>
      <c r="AS65" s="212"/>
      <c r="AT65" s="212"/>
      <c r="AU65" s="212"/>
      <c r="AV65" s="212"/>
      <c r="AW65" s="212"/>
      <c r="AX65" s="212"/>
      <c r="AY65" s="212"/>
      <c r="AZ65" s="212"/>
      <c r="BA65" s="212"/>
      <c r="BB65" s="212"/>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IF([5]回答表!X42="○",[5]回答表!J117,IF([5]回答表!AA42="○",[5]回答表!J130,""))</f>
        <v/>
      </c>
      <c r="AN66" s="119"/>
      <c r="AO66" s="119"/>
      <c r="AP66" s="119"/>
      <c r="AQ66" s="119"/>
      <c r="AR66" s="119"/>
      <c r="AS66" s="119"/>
      <c r="AT66" s="120"/>
      <c r="AU66" s="118" t="str">
        <f>IF([5]回答表!X42="○",[5]回答表!J118,IF([5]回答表!AA42="○",[5]回答表!J131,""))</f>
        <v/>
      </c>
      <c r="AV66" s="119"/>
      <c r="AW66" s="119"/>
      <c r="AX66" s="119"/>
      <c r="AY66" s="119"/>
      <c r="AZ66" s="119"/>
      <c r="BA66" s="119"/>
      <c r="BB66" s="120"/>
      <c r="BC66" s="40"/>
      <c r="BD66" s="35"/>
      <c r="BE66" s="82" t="str">
        <f>IF([5]回答表!X42="○",[5]回答表!V117,IF([5]回答表!AA42="○",[5]回答表!V130,""))</f>
        <v/>
      </c>
      <c r="BF66" s="83"/>
      <c r="BG66" s="83"/>
      <c r="BH66" s="83"/>
      <c r="BI66" s="82" t="str">
        <f>IF([5]回答表!X42="○",[5]回答表!V118,IF([5]回答表!AA42="○",[5]回答表!V131,""))</f>
        <v/>
      </c>
      <c r="BJ66" s="83"/>
      <c r="BK66" s="83"/>
      <c r="BL66" s="83"/>
      <c r="BM66" s="82" t="str">
        <f>IF([5]回答表!X42="○",[5]回答表!V119,IF([5]回答表!AA42="○",[5]回答表!V132,""))</f>
        <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IF([5]回答表!AA42="○","○","")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IF([5]回答表!AD42="○","○","")</f>
        <v>○</v>
      </c>
      <c r="O75" s="98"/>
      <c r="P75" s="98"/>
      <c r="Q75" s="99"/>
      <c r="R75" s="39"/>
      <c r="S75" s="39"/>
      <c r="T75" s="39"/>
      <c r="U75" s="278" t="str">
        <f>IF([5]回答表!AD42="○",[5]回答表!B137,"")</f>
        <v>大館市介護保険事業計画第９期中で民間への譲渡も検討している。
公共施設等総合管理計画を策定し、議会へも報告、ホームページで公開済み。</v>
      </c>
      <c r="V75" s="279"/>
      <c r="W75" s="279"/>
      <c r="X75" s="279"/>
      <c r="Y75" s="279"/>
      <c r="Z75" s="279"/>
      <c r="AA75" s="279"/>
      <c r="AB75" s="279"/>
      <c r="AC75" s="279"/>
      <c r="AD75" s="279"/>
      <c r="AE75" s="279"/>
      <c r="AF75" s="279"/>
      <c r="AG75" s="279"/>
      <c r="AH75" s="279"/>
      <c r="AI75" s="279"/>
      <c r="AJ75" s="280"/>
      <c r="AK75" s="56"/>
      <c r="AL75" s="56"/>
      <c r="AM75" s="278" t="str">
        <f>IF([5]回答表!AD42="○",[5]回答表!B143,"")</f>
        <v xml:space="preserve">「大館市デイサービスセンター大滝」については令和６年４月を目途に譲渡することで検討。
施設の老朽化もあり、経費が増大しないよう譲渡方法を検討している。
「大館市デイサービスセンターかつら」については譲渡予定はなし。
</v>
      </c>
      <c r="AN75" s="279"/>
      <c r="AO75" s="279"/>
      <c r="AP75" s="279"/>
      <c r="AQ75" s="279"/>
      <c r="AR75" s="279"/>
      <c r="AS75" s="279"/>
      <c r="AT75" s="279"/>
      <c r="AU75" s="279"/>
      <c r="AV75" s="279"/>
      <c r="AW75" s="279"/>
      <c r="AX75" s="279"/>
      <c r="AY75" s="279"/>
      <c r="AZ75" s="279"/>
      <c r="BA75" s="279"/>
      <c r="BB75" s="279"/>
      <c r="BC75" s="279"/>
      <c r="BD75" s="279"/>
      <c r="BE75" s="279"/>
      <c r="BF75" s="279"/>
      <c r="BG75" s="279"/>
      <c r="BH75" s="279"/>
      <c r="BI75" s="279"/>
      <c r="BJ75" s="279"/>
      <c r="BK75" s="279"/>
      <c r="BL75" s="279"/>
      <c r="BM75" s="279"/>
      <c r="BN75" s="279"/>
      <c r="BO75" s="279"/>
      <c r="BP75" s="280"/>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281"/>
      <c r="V76" s="282"/>
      <c r="W76" s="282"/>
      <c r="X76" s="282"/>
      <c r="Y76" s="282"/>
      <c r="Z76" s="282"/>
      <c r="AA76" s="282"/>
      <c r="AB76" s="282"/>
      <c r="AC76" s="282"/>
      <c r="AD76" s="282"/>
      <c r="AE76" s="282"/>
      <c r="AF76" s="282"/>
      <c r="AG76" s="282"/>
      <c r="AH76" s="282"/>
      <c r="AI76" s="282"/>
      <c r="AJ76" s="283"/>
      <c r="AK76" s="56"/>
      <c r="AL76" s="56"/>
      <c r="AM76" s="281"/>
      <c r="AN76" s="282"/>
      <c r="AO76" s="282"/>
      <c r="AP76" s="282"/>
      <c r="AQ76" s="282"/>
      <c r="AR76" s="282"/>
      <c r="AS76" s="282"/>
      <c r="AT76" s="282"/>
      <c r="AU76" s="282"/>
      <c r="AV76" s="282"/>
      <c r="AW76" s="282"/>
      <c r="AX76" s="282"/>
      <c r="AY76" s="282"/>
      <c r="AZ76" s="282"/>
      <c r="BA76" s="282"/>
      <c r="BB76" s="282"/>
      <c r="BC76" s="282"/>
      <c r="BD76" s="282"/>
      <c r="BE76" s="282"/>
      <c r="BF76" s="282"/>
      <c r="BG76" s="282"/>
      <c r="BH76" s="282"/>
      <c r="BI76" s="282"/>
      <c r="BJ76" s="282"/>
      <c r="BK76" s="282"/>
      <c r="BL76" s="282"/>
      <c r="BM76" s="282"/>
      <c r="BN76" s="282"/>
      <c r="BO76" s="282"/>
      <c r="BP76" s="283"/>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281"/>
      <c r="V77" s="282"/>
      <c r="W77" s="282"/>
      <c r="X77" s="282"/>
      <c r="Y77" s="282"/>
      <c r="Z77" s="282"/>
      <c r="AA77" s="282"/>
      <c r="AB77" s="282"/>
      <c r="AC77" s="282"/>
      <c r="AD77" s="282"/>
      <c r="AE77" s="282"/>
      <c r="AF77" s="282"/>
      <c r="AG77" s="282"/>
      <c r="AH77" s="282"/>
      <c r="AI77" s="282"/>
      <c r="AJ77" s="283"/>
      <c r="AK77" s="56"/>
      <c r="AL77" s="56"/>
      <c r="AM77" s="281"/>
      <c r="AN77" s="282"/>
      <c r="AO77" s="282"/>
      <c r="AP77" s="282"/>
      <c r="AQ77" s="282"/>
      <c r="AR77" s="282"/>
      <c r="AS77" s="282"/>
      <c r="AT77" s="282"/>
      <c r="AU77" s="282"/>
      <c r="AV77" s="282"/>
      <c r="AW77" s="282"/>
      <c r="AX77" s="282"/>
      <c r="AY77" s="282"/>
      <c r="AZ77" s="282"/>
      <c r="BA77" s="282"/>
      <c r="BB77" s="282"/>
      <c r="BC77" s="282"/>
      <c r="BD77" s="282"/>
      <c r="BE77" s="282"/>
      <c r="BF77" s="282"/>
      <c r="BG77" s="282"/>
      <c r="BH77" s="282"/>
      <c r="BI77" s="282"/>
      <c r="BJ77" s="282"/>
      <c r="BK77" s="282"/>
      <c r="BL77" s="282"/>
      <c r="BM77" s="282"/>
      <c r="BN77" s="282"/>
      <c r="BO77" s="282"/>
      <c r="BP77" s="283"/>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284"/>
      <c r="V78" s="285"/>
      <c r="W78" s="285"/>
      <c r="X78" s="285"/>
      <c r="Y78" s="285"/>
      <c r="Z78" s="285"/>
      <c r="AA78" s="285"/>
      <c r="AB78" s="285"/>
      <c r="AC78" s="285"/>
      <c r="AD78" s="285"/>
      <c r="AE78" s="285"/>
      <c r="AF78" s="285"/>
      <c r="AG78" s="285"/>
      <c r="AH78" s="285"/>
      <c r="AI78" s="285"/>
      <c r="AJ78" s="286"/>
      <c r="AK78" s="56"/>
      <c r="AL78" s="56"/>
      <c r="AM78" s="284"/>
      <c r="AN78" s="285"/>
      <c r="AO78" s="285"/>
      <c r="AP78" s="285"/>
      <c r="AQ78" s="285"/>
      <c r="AR78" s="285"/>
      <c r="AS78" s="285"/>
      <c r="AT78" s="285"/>
      <c r="AU78" s="285"/>
      <c r="AV78" s="285"/>
      <c r="AW78" s="285"/>
      <c r="AX78" s="285"/>
      <c r="AY78" s="285"/>
      <c r="AZ78" s="285"/>
      <c r="BA78" s="285"/>
      <c r="BB78" s="285"/>
      <c r="BC78" s="285"/>
      <c r="BD78" s="285"/>
      <c r="BE78" s="285"/>
      <c r="BF78" s="285"/>
      <c r="BG78" s="285"/>
      <c r="BH78" s="285"/>
      <c r="BI78" s="285"/>
      <c r="BJ78" s="285"/>
      <c r="BK78" s="285"/>
      <c r="BL78" s="285"/>
      <c r="BM78" s="285"/>
      <c r="BN78" s="285"/>
      <c r="BO78" s="285"/>
      <c r="BP78" s="286"/>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62"/>
      <c r="AS81" s="162"/>
      <c r="AT81" s="162"/>
      <c r="AU81" s="162"/>
      <c r="AV81" s="162"/>
      <c r="AW81" s="162"/>
      <c r="AX81" s="162"/>
      <c r="AY81" s="162"/>
      <c r="AZ81" s="162"/>
      <c r="BA81" s="162"/>
      <c r="BB81" s="162"/>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87"/>
      <c r="AS82" s="187"/>
      <c r="AT82" s="187"/>
      <c r="AU82" s="187"/>
      <c r="AV82" s="187"/>
      <c r="AW82" s="187"/>
      <c r="AX82" s="187"/>
      <c r="AY82" s="187"/>
      <c r="AZ82" s="187"/>
      <c r="BA82" s="187"/>
      <c r="BB82" s="187"/>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81" t="s">
        <v>18</v>
      </c>
      <c r="E87" s="181"/>
      <c r="F87" s="181"/>
      <c r="G87" s="181"/>
      <c r="H87" s="181"/>
      <c r="I87" s="181"/>
      <c r="J87" s="181"/>
      <c r="K87" s="181"/>
      <c r="L87" s="181"/>
      <c r="M87" s="181"/>
      <c r="N87" s="97" t="str">
        <f>IF([5]回答表!F17="水道事業",IF([5]回答表!X43="○","○",""),"")</f>
        <v/>
      </c>
      <c r="O87" s="98"/>
      <c r="P87" s="98"/>
      <c r="Q87" s="99"/>
      <c r="R87" s="39"/>
      <c r="S87" s="39"/>
      <c r="T87" s="39"/>
      <c r="U87" s="188" t="s">
        <v>41</v>
      </c>
      <c r="V87" s="189"/>
      <c r="W87" s="189"/>
      <c r="X87" s="189"/>
      <c r="Y87" s="189"/>
      <c r="Z87" s="189"/>
      <c r="AA87" s="189"/>
      <c r="AB87" s="189"/>
      <c r="AC87" s="188" t="s">
        <v>42</v>
      </c>
      <c r="AD87" s="189"/>
      <c r="AE87" s="189"/>
      <c r="AF87" s="189"/>
      <c r="AG87" s="189"/>
      <c r="AH87" s="189"/>
      <c r="AI87" s="189"/>
      <c r="AJ87" s="198"/>
      <c r="AK87" s="50"/>
      <c r="AL87" s="50"/>
      <c r="AM87" s="106" t="str">
        <f>IF([5]回答表!F17="水道事業",IF([5]回答表!X43="○",[5]回答表!B154,IF([5]回答表!AA43="○",[5]回答表!B201,"")),"")</f>
        <v/>
      </c>
      <c r="AN87" s="107"/>
      <c r="AO87" s="107"/>
      <c r="AP87" s="107"/>
      <c r="AQ87" s="107"/>
      <c r="AR87" s="107"/>
      <c r="AS87" s="107"/>
      <c r="AT87" s="107"/>
      <c r="AU87" s="107"/>
      <c r="AV87" s="107"/>
      <c r="AW87" s="107"/>
      <c r="AX87" s="107"/>
      <c r="AY87" s="107"/>
      <c r="AZ87" s="107"/>
      <c r="BA87" s="107"/>
      <c r="BB87" s="108"/>
      <c r="BC87" s="40"/>
      <c r="BD87" s="35"/>
      <c r="BE87" s="115" t="str">
        <f>IF([5]回答表!F17="水道事業",IF([5]回答表!X43="○",[5]回答表!B190,IF([5]回答表!AA43="○",[5]回答表!B238,"")),"")</f>
        <v/>
      </c>
      <c r="BF87" s="116"/>
      <c r="BG87" s="116"/>
      <c r="BH87" s="116"/>
      <c r="BI87" s="115"/>
      <c r="BJ87" s="116"/>
      <c r="BK87" s="116"/>
      <c r="BL87" s="116"/>
      <c r="BM87" s="115"/>
      <c r="BN87" s="116"/>
      <c r="BO87" s="116"/>
      <c r="BP87" s="117"/>
      <c r="BQ87" s="38"/>
    </row>
    <row r="88" spans="3:69" ht="19.350000000000001" customHeight="1" x14ac:dyDescent="0.4">
      <c r="C88" s="33"/>
      <c r="D88" s="181"/>
      <c r="E88" s="181"/>
      <c r="F88" s="181"/>
      <c r="G88" s="181"/>
      <c r="H88" s="181"/>
      <c r="I88" s="181"/>
      <c r="J88" s="181"/>
      <c r="K88" s="181"/>
      <c r="L88" s="181"/>
      <c r="M88" s="181"/>
      <c r="N88" s="100"/>
      <c r="O88" s="101"/>
      <c r="P88" s="101"/>
      <c r="Q88" s="102"/>
      <c r="R88" s="39"/>
      <c r="S88" s="39"/>
      <c r="T88" s="39"/>
      <c r="U88" s="190"/>
      <c r="V88" s="191"/>
      <c r="W88" s="191"/>
      <c r="X88" s="191"/>
      <c r="Y88" s="191"/>
      <c r="Z88" s="191"/>
      <c r="AA88" s="191"/>
      <c r="AB88" s="191"/>
      <c r="AC88" s="190"/>
      <c r="AD88" s="191"/>
      <c r="AE88" s="191"/>
      <c r="AF88" s="191"/>
      <c r="AG88" s="191"/>
      <c r="AH88" s="191"/>
      <c r="AI88" s="191"/>
      <c r="AJ88" s="199"/>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81"/>
      <c r="E89" s="181"/>
      <c r="F89" s="181"/>
      <c r="G89" s="181"/>
      <c r="H89" s="181"/>
      <c r="I89" s="181"/>
      <c r="J89" s="181"/>
      <c r="K89" s="181"/>
      <c r="L89" s="181"/>
      <c r="M89" s="181"/>
      <c r="N89" s="100"/>
      <c r="O89" s="101"/>
      <c r="P89" s="101"/>
      <c r="Q89" s="102"/>
      <c r="R89" s="39"/>
      <c r="S89" s="39"/>
      <c r="T89" s="39"/>
      <c r="U89" s="118" t="str">
        <f>IF([5]回答表!F17="水道事業",IF([5]回答表!X43="○",[5]回答表!J162,IF([5]回答表!AA43="○",[5]回答表!J209,"")),"")</f>
        <v/>
      </c>
      <c r="V89" s="119"/>
      <c r="W89" s="119"/>
      <c r="X89" s="119"/>
      <c r="Y89" s="119"/>
      <c r="Z89" s="119"/>
      <c r="AA89" s="119"/>
      <c r="AB89" s="120"/>
      <c r="AC89" s="118" t="str">
        <f>IF([5]回答表!F17="水道事業",IF([5]回答表!X43="○",[5]回答表!J169,IF([5]回答表!AA43="○",[5]回答表!J216,"")),"")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81"/>
      <c r="E90" s="181"/>
      <c r="F90" s="181"/>
      <c r="G90" s="181"/>
      <c r="H90" s="181"/>
      <c r="I90" s="181"/>
      <c r="J90" s="181"/>
      <c r="K90" s="181"/>
      <c r="L90" s="181"/>
      <c r="M90" s="181"/>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IF([5]回答表!F17="水道事業",IF([5]回答表!X43="○",[5]回答表!E190,IF([5]回答表!AA43="○",[5]回答表!E238,"")),"")</f>
        <v/>
      </c>
      <c r="BF90" s="83"/>
      <c r="BG90" s="83"/>
      <c r="BH90" s="83"/>
      <c r="BI90" s="82" t="str">
        <f>IF([5]回答表!F17="水道事業",IF([5]回答表!X43="○",[5]回答表!E191,IF([5]回答表!AA43="○",[5]回答表!E239,"")),"")</f>
        <v/>
      </c>
      <c r="BJ90" s="83"/>
      <c r="BK90" s="83"/>
      <c r="BL90" s="83"/>
      <c r="BM90" s="82" t="str">
        <f>IF([5]回答表!F17="水道事業",IF([5]回答表!X43="○",[5]回答表!E192,IF([5]回答表!AA43="○",[5]回答表!E240,"")),"")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88" t="s">
        <v>43</v>
      </c>
      <c r="V92" s="189"/>
      <c r="W92" s="189"/>
      <c r="X92" s="189"/>
      <c r="Y92" s="189"/>
      <c r="Z92" s="189"/>
      <c r="AA92" s="189"/>
      <c r="AB92" s="189"/>
      <c r="AC92" s="188" t="s">
        <v>44</v>
      </c>
      <c r="AD92" s="189"/>
      <c r="AE92" s="189"/>
      <c r="AF92" s="189"/>
      <c r="AG92" s="189"/>
      <c r="AH92" s="189"/>
      <c r="AI92" s="189"/>
      <c r="AJ92" s="198"/>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86" t="s">
        <v>26</v>
      </c>
      <c r="E93" s="181"/>
      <c r="F93" s="181"/>
      <c r="G93" s="181"/>
      <c r="H93" s="181"/>
      <c r="I93" s="181"/>
      <c r="J93" s="181"/>
      <c r="K93" s="181"/>
      <c r="L93" s="181"/>
      <c r="M93" s="182"/>
      <c r="N93" s="97" t="str">
        <f>IF([5]回答表!F17="水道事業",IF([5]回答表!AA43="○","○",""),"")</f>
        <v/>
      </c>
      <c r="O93" s="98"/>
      <c r="P93" s="98"/>
      <c r="Q93" s="99"/>
      <c r="R93" s="39"/>
      <c r="S93" s="39"/>
      <c r="T93" s="39"/>
      <c r="U93" s="190"/>
      <c r="V93" s="191"/>
      <c r="W93" s="191"/>
      <c r="X93" s="191"/>
      <c r="Y93" s="191"/>
      <c r="Z93" s="191"/>
      <c r="AA93" s="191"/>
      <c r="AB93" s="191"/>
      <c r="AC93" s="190"/>
      <c r="AD93" s="191"/>
      <c r="AE93" s="191"/>
      <c r="AF93" s="191"/>
      <c r="AG93" s="191"/>
      <c r="AH93" s="191"/>
      <c r="AI93" s="191"/>
      <c r="AJ93" s="199"/>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81"/>
      <c r="E94" s="181"/>
      <c r="F94" s="181"/>
      <c r="G94" s="181"/>
      <c r="H94" s="181"/>
      <c r="I94" s="181"/>
      <c r="J94" s="181"/>
      <c r="K94" s="181"/>
      <c r="L94" s="181"/>
      <c r="M94" s="182"/>
      <c r="N94" s="100"/>
      <c r="O94" s="101"/>
      <c r="P94" s="101"/>
      <c r="Q94" s="102"/>
      <c r="R94" s="39"/>
      <c r="S94" s="39"/>
      <c r="T94" s="39"/>
      <c r="U94" s="118" t="str">
        <f>IF([5]回答表!F17="水道事業",IF([5]回答表!X43="○",[5]回答表!J172,IF([5]回答表!AA43="○",[5]回答表!J219,"")),"")</f>
        <v/>
      </c>
      <c r="V94" s="119"/>
      <c r="W94" s="119"/>
      <c r="X94" s="119"/>
      <c r="Y94" s="119"/>
      <c r="Z94" s="119"/>
      <c r="AA94" s="119"/>
      <c r="AB94" s="120"/>
      <c r="AC94" s="118" t="str">
        <f>IF([5]回答表!F17="水道事業",IF([5]回答表!X43="○",[5]回答表!J176,IF([5]回答表!AA43="○",[5]回答表!J223,"")),"")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81"/>
      <c r="E95" s="181"/>
      <c r="F95" s="181"/>
      <c r="G95" s="181"/>
      <c r="H95" s="181"/>
      <c r="I95" s="181"/>
      <c r="J95" s="181"/>
      <c r="K95" s="181"/>
      <c r="L95" s="181"/>
      <c r="M95" s="182"/>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81"/>
      <c r="E96" s="181"/>
      <c r="F96" s="181"/>
      <c r="G96" s="181"/>
      <c r="H96" s="181"/>
      <c r="I96" s="181"/>
      <c r="J96" s="181"/>
      <c r="K96" s="181"/>
      <c r="L96" s="181"/>
      <c r="M96" s="182"/>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81" t="s">
        <v>34</v>
      </c>
      <c r="E99" s="181"/>
      <c r="F99" s="181"/>
      <c r="G99" s="181"/>
      <c r="H99" s="181"/>
      <c r="I99" s="181"/>
      <c r="J99" s="181"/>
      <c r="K99" s="181"/>
      <c r="L99" s="181"/>
      <c r="M99" s="182"/>
      <c r="N99" s="97" t="str">
        <f>IF([5]回答表!F17="水道事業",IF([5]回答表!AD43="○","○",""),"")</f>
        <v/>
      </c>
      <c r="O99" s="98"/>
      <c r="P99" s="98"/>
      <c r="Q99" s="99"/>
      <c r="R99" s="39"/>
      <c r="S99" s="39"/>
      <c r="T99" s="39"/>
      <c r="U99" s="106" t="str">
        <f>IF([5]回答表!F17="水道事業",IF([5]回答表!AD43="○",[5]回答表!B249,""),"")</f>
        <v/>
      </c>
      <c r="V99" s="107"/>
      <c r="W99" s="107"/>
      <c r="X99" s="107"/>
      <c r="Y99" s="107"/>
      <c r="Z99" s="107"/>
      <c r="AA99" s="107"/>
      <c r="AB99" s="107"/>
      <c r="AC99" s="107"/>
      <c r="AD99" s="107"/>
      <c r="AE99" s="107"/>
      <c r="AF99" s="107"/>
      <c r="AG99" s="107"/>
      <c r="AH99" s="107"/>
      <c r="AI99" s="107"/>
      <c r="AJ99" s="108"/>
      <c r="AK99" s="56"/>
      <c r="AL99" s="56"/>
      <c r="AM99" s="106" t="str">
        <f>IF([5]回答表!F17="水道事業",IF([5]回答表!AD43="○",[5]回答表!B255,""),"")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81"/>
      <c r="E100" s="181"/>
      <c r="F100" s="181"/>
      <c r="G100" s="181"/>
      <c r="H100" s="181"/>
      <c r="I100" s="181"/>
      <c r="J100" s="181"/>
      <c r="K100" s="181"/>
      <c r="L100" s="181"/>
      <c r="M100" s="182"/>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81"/>
      <c r="E101" s="181"/>
      <c r="F101" s="181"/>
      <c r="G101" s="181"/>
      <c r="H101" s="181"/>
      <c r="I101" s="181"/>
      <c r="J101" s="181"/>
      <c r="K101" s="181"/>
      <c r="L101" s="181"/>
      <c r="M101" s="182"/>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81"/>
      <c r="E102" s="181"/>
      <c r="F102" s="181"/>
      <c r="G102" s="181"/>
      <c r="H102" s="181"/>
      <c r="I102" s="181"/>
      <c r="J102" s="181"/>
      <c r="K102" s="181"/>
      <c r="L102" s="181"/>
      <c r="M102" s="182"/>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62"/>
      <c r="AS105" s="162"/>
      <c r="AT105" s="162"/>
      <c r="AU105" s="162"/>
      <c r="AV105" s="162"/>
      <c r="AW105" s="162"/>
      <c r="AX105" s="162"/>
      <c r="AY105" s="162"/>
      <c r="AZ105" s="162"/>
      <c r="BA105" s="162"/>
      <c r="BB105" s="162"/>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87"/>
      <c r="AS106" s="187"/>
      <c r="AT106" s="187"/>
      <c r="AU106" s="187"/>
      <c r="AV106" s="187"/>
      <c r="AW106" s="187"/>
      <c r="AX106" s="187"/>
      <c r="AY106" s="187"/>
      <c r="AZ106" s="187"/>
      <c r="BA106" s="187"/>
      <c r="BB106" s="187"/>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81" t="s">
        <v>18</v>
      </c>
      <c r="E111" s="181"/>
      <c r="F111" s="181"/>
      <c r="G111" s="181"/>
      <c r="H111" s="181"/>
      <c r="I111" s="181"/>
      <c r="J111" s="181"/>
      <c r="K111" s="181"/>
      <c r="L111" s="181"/>
      <c r="M111" s="181"/>
      <c r="N111" s="97" t="str">
        <f>IF([5]回答表!F17="簡易水道事業",IF([5]回答表!X43="○","○",""),"")</f>
        <v/>
      </c>
      <c r="O111" s="98"/>
      <c r="P111" s="98"/>
      <c r="Q111" s="99"/>
      <c r="R111" s="39"/>
      <c r="S111" s="39"/>
      <c r="T111" s="39"/>
      <c r="U111" s="188" t="s">
        <v>46</v>
      </c>
      <c r="V111" s="189"/>
      <c r="W111" s="189"/>
      <c r="X111" s="189"/>
      <c r="Y111" s="189"/>
      <c r="Z111" s="189"/>
      <c r="AA111" s="189"/>
      <c r="AB111" s="189"/>
      <c r="AC111" s="189"/>
      <c r="AD111" s="189"/>
      <c r="AE111" s="189"/>
      <c r="AF111" s="189"/>
      <c r="AG111" s="189"/>
      <c r="AH111" s="189"/>
      <c r="AI111" s="189"/>
      <c r="AJ111" s="198"/>
      <c r="AK111" s="50"/>
      <c r="AL111" s="50"/>
      <c r="AM111" s="106" t="str">
        <f>IF([5]回答表!F17="簡易水道事業",IF([5]回答表!X43="○",[5]回答表!B154,IF([5]回答表!AA43="○",[5]回答表!B201,"")),"")</f>
        <v/>
      </c>
      <c r="AN111" s="107"/>
      <c r="AO111" s="107"/>
      <c r="AP111" s="107"/>
      <c r="AQ111" s="107"/>
      <c r="AR111" s="107"/>
      <c r="AS111" s="107"/>
      <c r="AT111" s="107"/>
      <c r="AU111" s="107"/>
      <c r="AV111" s="107"/>
      <c r="AW111" s="107"/>
      <c r="AX111" s="107"/>
      <c r="AY111" s="107"/>
      <c r="AZ111" s="107"/>
      <c r="BA111" s="107"/>
      <c r="BB111" s="108"/>
      <c r="BC111" s="40"/>
      <c r="BD111" s="35"/>
      <c r="BE111" s="115" t="str">
        <f>IF([5]回答表!F17="簡易水道事業",IF([5]回答表!X43="○",[5]回答表!B190,IF([5]回答表!AA43="○",[5]回答表!B238,"")),"")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81"/>
      <c r="E112" s="181"/>
      <c r="F112" s="181"/>
      <c r="G112" s="181"/>
      <c r="H112" s="181"/>
      <c r="I112" s="181"/>
      <c r="J112" s="181"/>
      <c r="K112" s="181"/>
      <c r="L112" s="181"/>
      <c r="M112" s="181"/>
      <c r="N112" s="100"/>
      <c r="O112" s="101"/>
      <c r="P112" s="101"/>
      <c r="Q112" s="102"/>
      <c r="R112" s="39"/>
      <c r="S112" s="39"/>
      <c r="T112" s="39"/>
      <c r="U112" s="200"/>
      <c r="V112" s="201"/>
      <c r="W112" s="201"/>
      <c r="X112" s="201"/>
      <c r="Y112" s="201"/>
      <c r="Z112" s="201"/>
      <c r="AA112" s="201"/>
      <c r="AB112" s="201"/>
      <c r="AC112" s="201"/>
      <c r="AD112" s="201"/>
      <c r="AE112" s="201"/>
      <c r="AF112" s="201"/>
      <c r="AG112" s="201"/>
      <c r="AH112" s="201"/>
      <c r="AI112" s="201"/>
      <c r="AJ112" s="202"/>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81"/>
      <c r="E113" s="181"/>
      <c r="F113" s="181"/>
      <c r="G113" s="181"/>
      <c r="H113" s="181"/>
      <c r="I113" s="181"/>
      <c r="J113" s="181"/>
      <c r="K113" s="181"/>
      <c r="L113" s="181"/>
      <c r="M113" s="181"/>
      <c r="N113" s="100"/>
      <c r="O113" s="101"/>
      <c r="P113" s="101"/>
      <c r="Q113" s="102"/>
      <c r="R113" s="39"/>
      <c r="S113" s="39"/>
      <c r="T113" s="39"/>
      <c r="U113" s="118" t="str">
        <f>IF([5]回答表!F17="簡易水道事業",IF([5]回答表!X43="○",[5]回答表!Y181,IF([5]回答表!AA43="○",[5]回答表!Y229,"")),"")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81"/>
      <c r="E114" s="181"/>
      <c r="F114" s="181"/>
      <c r="G114" s="181"/>
      <c r="H114" s="181"/>
      <c r="I114" s="181"/>
      <c r="J114" s="181"/>
      <c r="K114" s="181"/>
      <c r="L114" s="181"/>
      <c r="M114" s="181"/>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IF([5]回答表!F17="簡易水道事業",IF([5]回答表!X43="○",[5]回答表!E190,IF([5]回答表!AA43="○",[5]回答表!E238,"")),"")</f>
        <v/>
      </c>
      <c r="BF114" s="83"/>
      <c r="BG114" s="83"/>
      <c r="BH114" s="83"/>
      <c r="BI114" s="82" t="str">
        <f>IF([5]回答表!F17="簡易水道事業",IF([5]回答表!X43="○",[5]回答表!E191,IF([5]回答表!AA43="○",[5]回答表!E239,"")),"")</f>
        <v/>
      </c>
      <c r="BJ114" s="83"/>
      <c r="BK114" s="83"/>
      <c r="BL114" s="83"/>
      <c r="BM114" s="82" t="str">
        <f>IF([5]回答表!F17="簡易水道事業",IF([5]回答表!X43="○",[5]回答表!E192,IF([5]回答表!AA43="○",[5]回答表!E240,"")),"")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88" t="s">
        <v>47</v>
      </c>
      <c r="V116" s="189"/>
      <c r="W116" s="189"/>
      <c r="X116" s="189"/>
      <c r="Y116" s="189"/>
      <c r="Z116" s="189"/>
      <c r="AA116" s="189"/>
      <c r="AB116" s="189"/>
      <c r="AC116" s="189"/>
      <c r="AD116" s="189"/>
      <c r="AE116" s="189"/>
      <c r="AF116" s="189"/>
      <c r="AG116" s="189"/>
      <c r="AH116" s="189"/>
      <c r="AI116" s="189"/>
      <c r="AJ116" s="198"/>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86" t="s">
        <v>26</v>
      </c>
      <c r="E117" s="181"/>
      <c r="F117" s="181"/>
      <c r="G117" s="181"/>
      <c r="H117" s="181"/>
      <c r="I117" s="181"/>
      <c r="J117" s="181"/>
      <c r="K117" s="181"/>
      <c r="L117" s="181"/>
      <c r="M117" s="182"/>
      <c r="N117" s="97" t="str">
        <f>IF([5]回答表!F17="簡易水道事業",IF([5]回答表!AA43="○","○",""),"")</f>
        <v/>
      </c>
      <c r="O117" s="98"/>
      <c r="P117" s="98"/>
      <c r="Q117" s="99"/>
      <c r="R117" s="39"/>
      <c r="S117" s="39"/>
      <c r="T117" s="39"/>
      <c r="U117" s="200"/>
      <c r="V117" s="201"/>
      <c r="W117" s="201"/>
      <c r="X117" s="201"/>
      <c r="Y117" s="201"/>
      <c r="Z117" s="201"/>
      <c r="AA117" s="201"/>
      <c r="AB117" s="201"/>
      <c r="AC117" s="201"/>
      <c r="AD117" s="201"/>
      <c r="AE117" s="201"/>
      <c r="AF117" s="201"/>
      <c r="AG117" s="201"/>
      <c r="AH117" s="201"/>
      <c r="AI117" s="201"/>
      <c r="AJ117" s="202"/>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81"/>
      <c r="E118" s="181"/>
      <c r="F118" s="181"/>
      <c r="G118" s="181"/>
      <c r="H118" s="181"/>
      <c r="I118" s="181"/>
      <c r="J118" s="181"/>
      <c r="K118" s="181"/>
      <c r="L118" s="181"/>
      <c r="M118" s="182"/>
      <c r="N118" s="100"/>
      <c r="O118" s="101"/>
      <c r="P118" s="101"/>
      <c r="Q118" s="102"/>
      <c r="R118" s="39"/>
      <c r="S118" s="39"/>
      <c r="T118" s="39"/>
      <c r="U118" s="118" t="str">
        <f>IF([5]回答表!F17="簡易水道事業",IF([5]回答表!X43="○",[5]回答表!Y182,IF([5]回答表!AA43="○",[5]回答表!Y230,"")),"")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81"/>
      <c r="E119" s="181"/>
      <c r="F119" s="181"/>
      <c r="G119" s="181"/>
      <c r="H119" s="181"/>
      <c r="I119" s="181"/>
      <c r="J119" s="181"/>
      <c r="K119" s="181"/>
      <c r="L119" s="181"/>
      <c r="M119" s="182"/>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81"/>
      <c r="E120" s="181"/>
      <c r="F120" s="181"/>
      <c r="G120" s="181"/>
      <c r="H120" s="181"/>
      <c r="I120" s="181"/>
      <c r="J120" s="181"/>
      <c r="K120" s="181"/>
      <c r="L120" s="181"/>
      <c r="M120" s="182"/>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81" t="s">
        <v>34</v>
      </c>
      <c r="E123" s="181"/>
      <c r="F123" s="181"/>
      <c r="G123" s="181"/>
      <c r="H123" s="181"/>
      <c r="I123" s="181"/>
      <c r="J123" s="181"/>
      <c r="K123" s="181"/>
      <c r="L123" s="181"/>
      <c r="M123" s="182"/>
      <c r="N123" s="97" t="str">
        <f>IF([5]回答表!F17="簡易水道事業",IF([5]回答表!AD43="○","○",""),"")</f>
        <v/>
      </c>
      <c r="O123" s="98"/>
      <c r="P123" s="98"/>
      <c r="Q123" s="99"/>
      <c r="R123" s="39"/>
      <c r="S123" s="39"/>
      <c r="T123" s="39"/>
      <c r="U123" s="106" t="str">
        <f>IF([5]回答表!F17="簡易水道事業",IF([5]回答表!AD43="○",[5]回答表!B249,""),"")</f>
        <v/>
      </c>
      <c r="V123" s="107"/>
      <c r="W123" s="107"/>
      <c r="X123" s="107"/>
      <c r="Y123" s="107"/>
      <c r="Z123" s="107"/>
      <c r="AA123" s="107"/>
      <c r="AB123" s="107"/>
      <c r="AC123" s="107"/>
      <c r="AD123" s="107"/>
      <c r="AE123" s="107"/>
      <c r="AF123" s="107"/>
      <c r="AG123" s="107"/>
      <c r="AH123" s="107"/>
      <c r="AI123" s="107"/>
      <c r="AJ123" s="108"/>
      <c r="AK123" s="56"/>
      <c r="AL123" s="56"/>
      <c r="AM123" s="106" t="str">
        <f>IF([5]回答表!F17="簡易水道事業",IF([5]回答表!AD43="○",[5]回答表!B255,""),"")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81"/>
      <c r="E124" s="181"/>
      <c r="F124" s="181"/>
      <c r="G124" s="181"/>
      <c r="H124" s="181"/>
      <c r="I124" s="181"/>
      <c r="J124" s="181"/>
      <c r="K124" s="181"/>
      <c r="L124" s="181"/>
      <c r="M124" s="182"/>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81"/>
      <c r="E125" s="181"/>
      <c r="F125" s="181"/>
      <c r="G125" s="181"/>
      <c r="H125" s="181"/>
      <c r="I125" s="181"/>
      <c r="J125" s="181"/>
      <c r="K125" s="181"/>
      <c r="L125" s="181"/>
      <c r="M125" s="182"/>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81"/>
      <c r="E126" s="181"/>
      <c r="F126" s="181"/>
      <c r="G126" s="181"/>
      <c r="H126" s="181"/>
      <c r="I126" s="181"/>
      <c r="J126" s="181"/>
      <c r="K126" s="181"/>
      <c r="L126" s="181"/>
      <c r="M126" s="182"/>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62"/>
      <c r="AS129" s="162"/>
      <c r="AT129" s="162"/>
      <c r="AU129" s="162"/>
      <c r="AV129" s="162"/>
      <c r="AW129" s="162"/>
      <c r="AX129" s="162"/>
      <c r="AY129" s="162"/>
      <c r="AZ129" s="162"/>
      <c r="BA129" s="162"/>
      <c r="BB129" s="162"/>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87"/>
      <c r="AS130" s="187"/>
      <c r="AT130" s="187"/>
      <c r="AU130" s="187"/>
      <c r="AV130" s="187"/>
      <c r="AW130" s="187"/>
      <c r="AX130" s="187"/>
      <c r="AY130" s="187"/>
      <c r="AZ130" s="187"/>
      <c r="BA130" s="187"/>
      <c r="BB130" s="187"/>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81" t="s">
        <v>18</v>
      </c>
      <c r="E135" s="181"/>
      <c r="F135" s="181"/>
      <c r="G135" s="181"/>
      <c r="H135" s="181"/>
      <c r="I135" s="181"/>
      <c r="J135" s="181"/>
      <c r="K135" s="181"/>
      <c r="L135" s="181"/>
      <c r="M135" s="181"/>
      <c r="N135" s="97" t="str">
        <f>IF([5]回答表!F17="下水道事業",IF([5]回答表!X43="○","○",""),"")</f>
        <v/>
      </c>
      <c r="O135" s="98"/>
      <c r="P135" s="98"/>
      <c r="Q135" s="99"/>
      <c r="R135" s="39"/>
      <c r="S135" s="39"/>
      <c r="T135" s="39"/>
      <c r="U135" s="188" t="s">
        <v>49</v>
      </c>
      <c r="V135" s="189"/>
      <c r="W135" s="189"/>
      <c r="X135" s="189"/>
      <c r="Y135" s="189"/>
      <c r="Z135" s="189"/>
      <c r="AA135" s="189"/>
      <c r="AB135" s="189"/>
      <c r="AC135" s="188" t="s">
        <v>50</v>
      </c>
      <c r="AD135" s="189"/>
      <c r="AE135" s="189"/>
      <c r="AF135" s="189"/>
      <c r="AG135" s="189"/>
      <c r="AH135" s="189"/>
      <c r="AI135" s="189"/>
      <c r="AJ135" s="198"/>
      <c r="AK135" s="50"/>
      <c r="AL135" s="50"/>
      <c r="AM135" s="106" t="str">
        <f>IF([5]回答表!F17="下水道事業",IF([5]回答表!X43="○",[5]回答表!B154,IF([5]回答表!AA43="○",[5]回答表!B201,"")),"")</f>
        <v/>
      </c>
      <c r="AN135" s="107"/>
      <c r="AO135" s="107"/>
      <c r="AP135" s="107"/>
      <c r="AQ135" s="107"/>
      <c r="AR135" s="107"/>
      <c r="AS135" s="107"/>
      <c r="AT135" s="107"/>
      <c r="AU135" s="107"/>
      <c r="AV135" s="107"/>
      <c r="AW135" s="107"/>
      <c r="AX135" s="107"/>
      <c r="AY135" s="107"/>
      <c r="AZ135" s="107"/>
      <c r="BA135" s="107"/>
      <c r="BB135" s="108"/>
      <c r="BC135" s="40"/>
      <c r="BD135" s="35"/>
      <c r="BE135" s="115" t="str">
        <f>IF([5]回答表!F17="下水道事業",IF([5]回答表!X43="○",[5]回答表!B190,IF([5]回答表!AA43="○",[5]回答表!B238,"")),"")</f>
        <v/>
      </c>
      <c r="BF135" s="116"/>
      <c r="BG135" s="116"/>
      <c r="BH135" s="116"/>
      <c r="BI135" s="115"/>
      <c r="BJ135" s="116"/>
      <c r="BK135" s="116"/>
      <c r="BL135" s="116"/>
      <c r="BM135" s="115"/>
      <c r="BN135" s="116"/>
      <c r="BO135" s="116"/>
      <c r="BP135" s="117"/>
      <c r="BQ135" s="38"/>
    </row>
    <row r="136" spans="3:69" ht="19.350000000000001" customHeight="1" x14ac:dyDescent="0.4">
      <c r="C136" s="33"/>
      <c r="D136" s="181"/>
      <c r="E136" s="181"/>
      <c r="F136" s="181"/>
      <c r="G136" s="181"/>
      <c r="H136" s="181"/>
      <c r="I136" s="181"/>
      <c r="J136" s="181"/>
      <c r="K136" s="181"/>
      <c r="L136" s="181"/>
      <c r="M136" s="181"/>
      <c r="N136" s="100"/>
      <c r="O136" s="101"/>
      <c r="P136" s="101"/>
      <c r="Q136" s="102"/>
      <c r="R136" s="39"/>
      <c r="S136" s="39"/>
      <c r="T136" s="39"/>
      <c r="U136" s="190"/>
      <c r="V136" s="191"/>
      <c r="W136" s="191"/>
      <c r="X136" s="191"/>
      <c r="Y136" s="191"/>
      <c r="Z136" s="191"/>
      <c r="AA136" s="191"/>
      <c r="AB136" s="191"/>
      <c r="AC136" s="190"/>
      <c r="AD136" s="191"/>
      <c r="AE136" s="191"/>
      <c r="AF136" s="191"/>
      <c r="AG136" s="191"/>
      <c r="AH136" s="191"/>
      <c r="AI136" s="191"/>
      <c r="AJ136" s="199"/>
      <c r="AK136" s="50"/>
      <c r="AL136" s="50"/>
      <c r="AM136" s="109"/>
      <c r="AN136" s="110"/>
      <c r="AO136" s="110"/>
      <c r="AP136" s="110"/>
      <c r="AQ136" s="110"/>
      <c r="AR136" s="110"/>
      <c r="AS136" s="110"/>
      <c r="AT136" s="110"/>
      <c r="AU136" s="110"/>
      <c r="AV136" s="110"/>
      <c r="AW136" s="110"/>
      <c r="AX136" s="110"/>
      <c r="AY136" s="110"/>
      <c r="AZ136" s="110"/>
      <c r="BA136" s="110"/>
      <c r="BB136" s="111"/>
      <c r="BC136" s="40"/>
      <c r="BD136" s="35"/>
      <c r="BE136" s="82"/>
      <c r="BF136" s="83"/>
      <c r="BG136" s="83"/>
      <c r="BH136" s="83"/>
      <c r="BI136" s="82"/>
      <c r="BJ136" s="83"/>
      <c r="BK136" s="83"/>
      <c r="BL136" s="83"/>
      <c r="BM136" s="82"/>
      <c r="BN136" s="83"/>
      <c r="BO136" s="83"/>
      <c r="BP136" s="86"/>
      <c r="BQ136" s="38"/>
    </row>
    <row r="137" spans="3:69" ht="15.6" customHeight="1" x14ac:dyDescent="0.4">
      <c r="C137" s="33"/>
      <c r="D137" s="181"/>
      <c r="E137" s="181"/>
      <c r="F137" s="181"/>
      <c r="G137" s="181"/>
      <c r="H137" s="181"/>
      <c r="I137" s="181"/>
      <c r="J137" s="181"/>
      <c r="K137" s="181"/>
      <c r="L137" s="181"/>
      <c r="M137" s="181"/>
      <c r="N137" s="100"/>
      <c r="O137" s="101"/>
      <c r="P137" s="101"/>
      <c r="Q137" s="102"/>
      <c r="R137" s="39"/>
      <c r="S137" s="39"/>
      <c r="T137" s="39"/>
      <c r="U137" s="118" t="str">
        <f>IF([5]回答表!F17="下水道事業",IF([5]回答表!X43="○",[5]回答表!Y184,IF([5]回答表!AA43="○",[5]回答表!Y232,"")),"")</f>
        <v/>
      </c>
      <c r="V137" s="119"/>
      <c r="W137" s="119"/>
      <c r="X137" s="119"/>
      <c r="Y137" s="119"/>
      <c r="Z137" s="119"/>
      <c r="AA137" s="119"/>
      <c r="AB137" s="120"/>
      <c r="AC137" s="118" t="str">
        <f>IF([5]回答表!F17="下水道事業",IF([5]回答表!X43="○",[5]回答表!Y185,IF([5]回答表!AA43="○",[5]回答表!Y233,"")),"")</f>
        <v/>
      </c>
      <c r="AD137" s="119"/>
      <c r="AE137" s="119"/>
      <c r="AF137" s="119"/>
      <c r="AG137" s="119"/>
      <c r="AH137" s="119"/>
      <c r="AI137" s="119"/>
      <c r="AJ137" s="120"/>
      <c r="AK137" s="50"/>
      <c r="AL137" s="50"/>
      <c r="AM137" s="109"/>
      <c r="AN137" s="110"/>
      <c r="AO137" s="110"/>
      <c r="AP137" s="110"/>
      <c r="AQ137" s="110"/>
      <c r="AR137" s="110"/>
      <c r="AS137" s="110"/>
      <c r="AT137" s="110"/>
      <c r="AU137" s="110"/>
      <c r="AV137" s="110"/>
      <c r="AW137" s="110"/>
      <c r="AX137" s="110"/>
      <c r="AY137" s="110"/>
      <c r="AZ137" s="110"/>
      <c r="BA137" s="110"/>
      <c r="BB137" s="111"/>
      <c r="BC137" s="40"/>
      <c r="BD137" s="35"/>
      <c r="BE137" s="82"/>
      <c r="BF137" s="83"/>
      <c r="BG137" s="83"/>
      <c r="BH137" s="83"/>
      <c r="BI137" s="82"/>
      <c r="BJ137" s="83"/>
      <c r="BK137" s="83"/>
      <c r="BL137" s="83"/>
      <c r="BM137" s="82"/>
      <c r="BN137" s="83"/>
      <c r="BO137" s="83"/>
      <c r="BP137" s="86"/>
      <c r="BQ137" s="38"/>
    </row>
    <row r="138" spans="3:69" ht="15.6" customHeight="1" x14ac:dyDescent="0.4">
      <c r="C138" s="33"/>
      <c r="D138" s="181"/>
      <c r="E138" s="181"/>
      <c r="F138" s="181"/>
      <c r="G138" s="181"/>
      <c r="H138" s="181"/>
      <c r="I138" s="181"/>
      <c r="J138" s="181"/>
      <c r="K138" s="181"/>
      <c r="L138" s="181"/>
      <c r="M138" s="181"/>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109"/>
      <c r="AN138" s="110"/>
      <c r="AO138" s="110"/>
      <c r="AP138" s="110"/>
      <c r="AQ138" s="110"/>
      <c r="AR138" s="110"/>
      <c r="AS138" s="110"/>
      <c r="AT138" s="110"/>
      <c r="AU138" s="110"/>
      <c r="AV138" s="110"/>
      <c r="AW138" s="110"/>
      <c r="AX138" s="110"/>
      <c r="AY138" s="110"/>
      <c r="AZ138" s="110"/>
      <c r="BA138" s="110"/>
      <c r="BB138" s="111"/>
      <c r="BC138" s="40"/>
      <c r="BD138" s="35"/>
      <c r="BE138" s="82" t="str">
        <f>IF([5]回答表!F17="下水道事業",IF([5]回答表!X43="○",[5]回答表!E190,IF([5]回答表!AA43="○",[5]回答表!E238,"")),"")</f>
        <v/>
      </c>
      <c r="BF138" s="83"/>
      <c r="BG138" s="83"/>
      <c r="BH138" s="83"/>
      <c r="BI138" s="82" t="str">
        <f>IF([5]回答表!F17="下水道事業",IF([5]回答表!X43="○",[5]回答表!E191,IF([5]回答表!AA43="○",[5]回答表!E239,"")),"")</f>
        <v/>
      </c>
      <c r="BJ138" s="83"/>
      <c r="BK138" s="83"/>
      <c r="BL138" s="83"/>
      <c r="BM138" s="82" t="str">
        <f>IF([5]回答表!F17="下水道事業",IF([5]回答表!X43="○",[5]回答表!E192,IF([5]回答表!AA43="○",[5]回答表!E240,"")),"")</f>
        <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109"/>
      <c r="AN139" s="110"/>
      <c r="AO139" s="110"/>
      <c r="AP139" s="110"/>
      <c r="AQ139" s="110"/>
      <c r="AR139" s="110"/>
      <c r="AS139" s="110"/>
      <c r="AT139" s="110"/>
      <c r="AU139" s="110"/>
      <c r="AV139" s="110"/>
      <c r="AW139" s="110"/>
      <c r="AX139" s="110"/>
      <c r="AY139" s="110"/>
      <c r="AZ139" s="110"/>
      <c r="BA139" s="110"/>
      <c r="BB139" s="111"/>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88" t="s">
        <v>51</v>
      </c>
      <c r="V140" s="189"/>
      <c r="W140" s="189"/>
      <c r="X140" s="189"/>
      <c r="Y140" s="189"/>
      <c r="Z140" s="189"/>
      <c r="AA140" s="189"/>
      <c r="AB140" s="189"/>
      <c r="AC140" s="192" t="s">
        <v>52</v>
      </c>
      <c r="AD140" s="193"/>
      <c r="AE140" s="193"/>
      <c r="AF140" s="193"/>
      <c r="AG140" s="193"/>
      <c r="AH140" s="193"/>
      <c r="AI140" s="193"/>
      <c r="AJ140" s="194"/>
      <c r="AK140" s="50"/>
      <c r="AL140" s="50"/>
      <c r="AM140" s="109"/>
      <c r="AN140" s="110"/>
      <c r="AO140" s="110"/>
      <c r="AP140" s="110"/>
      <c r="AQ140" s="110"/>
      <c r="AR140" s="110"/>
      <c r="AS140" s="110"/>
      <c r="AT140" s="110"/>
      <c r="AU140" s="110"/>
      <c r="AV140" s="110"/>
      <c r="AW140" s="110"/>
      <c r="AX140" s="110"/>
      <c r="AY140" s="110"/>
      <c r="AZ140" s="110"/>
      <c r="BA140" s="110"/>
      <c r="BB140" s="111"/>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86" t="s">
        <v>26</v>
      </c>
      <c r="E141" s="181"/>
      <c r="F141" s="181"/>
      <c r="G141" s="181"/>
      <c r="H141" s="181"/>
      <c r="I141" s="181"/>
      <c r="J141" s="181"/>
      <c r="K141" s="181"/>
      <c r="L141" s="181"/>
      <c r="M141" s="182"/>
      <c r="N141" s="97" t="str">
        <f>IF([5]回答表!F17="下水道事業",IF([5]回答表!AA43="○","○",""),"")</f>
        <v/>
      </c>
      <c r="O141" s="98"/>
      <c r="P141" s="98"/>
      <c r="Q141" s="99"/>
      <c r="R141" s="39"/>
      <c r="S141" s="39"/>
      <c r="T141" s="39"/>
      <c r="U141" s="190"/>
      <c r="V141" s="191"/>
      <c r="W141" s="191"/>
      <c r="X141" s="191"/>
      <c r="Y141" s="191"/>
      <c r="Z141" s="191"/>
      <c r="AA141" s="191"/>
      <c r="AB141" s="191"/>
      <c r="AC141" s="195"/>
      <c r="AD141" s="196"/>
      <c r="AE141" s="196"/>
      <c r="AF141" s="196"/>
      <c r="AG141" s="196"/>
      <c r="AH141" s="196"/>
      <c r="AI141" s="196"/>
      <c r="AJ141" s="197"/>
      <c r="AK141" s="50"/>
      <c r="AL141" s="50"/>
      <c r="AM141" s="109"/>
      <c r="AN141" s="110"/>
      <c r="AO141" s="110"/>
      <c r="AP141" s="110"/>
      <c r="AQ141" s="110"/>
      <c r="AR141" s="110"/>
      <c r="AS141" s="110"/>
      <c r="AT141" s="110"/>
      <c r="AU141" s="110"/>
      <c r="AV141" s="110"/>
      <c r="AW141" s="110"/>
      <c r="AX141" s="110"/>
      <c r="AY141" s="110"/>
      <c r="AZ141" s="110"/>
      <c r="BA141" s="110"/>
      <c r="BB141" s="111"/>
      <c r="BC141" s="40"/>
      <c r="BD141" s="54"/>
      <c r="BE141" s="82"/>
      <c r="BF141" s="83"/>
      <c r="BG141" s="83"/>
      <c r="BH141" s="83"/>
      <c r="BI141" s="82"/>
      <c r="BJ141" s="83"/>
      <c r="BK141" s="83"/>
      <c r="BL141" s="83"/>
      <c r="BM141" s="82"/>
      <c r="BN141" s="83"/>
      <c r="BO141" s="83"/>
      <c r="BP141" s="86"/>
      <c r="BQ141" s="38"/>
    </row>
    <row r="142" spans="3:69" ht="15.6" customHeight="1" x14ac:dyDescent="0.4">
      <c r="C142" s="33"/>
      <c r="D142" s="181"/>
      <c r="E142" s="181"/>
      <c r="F142" s="181"/>
      <c r="G142" s="181"/>
      <c r="H142" s="181"/>
      <c r="I142" s="181"/>
      <c r="J142" s="181"/>
      <c r="K142" s="181"/>
      <c r="L142" s="181"/>
      <c r="M142" s="182"/>
      <c r="N142" s="100"/>
      <c r="O142" s="101"/>
      <c r="P142" s="101"/>
      <c r="Q142" s="102"/>
      <c r="R142" s="39"/>
      <c r="S142" s="39"/>
      <c r="T142" s="39"/>
      <c r="U142" s="118" t="str">
        <f>IF([5]回答表!F17="下水道事業",IF([5]回答表!X43="○",[5]回答表!Y186,IF([5]回答表!AA43="○",[5]回答表!Y234,"")),"")</f>
        <v/>
      </c>
      <c r="V142" s="119"/>
      <c r="W142" s="119"/>
      <c r="X142" s="119"/>
      <c r="Y142" s="119"/>
      <c r="Z142" s="119"/>
      <c r="AA142" s="119"/>
      <c r="AB142" s="120"/>
      <c r="AC142" s="118" t="str">
        <f>IF([5]回答表!F17="下水道事業",IF([5]回答表!X43="○",[5]回答表!Y187,IF([5]回答表!AA43="○",[5]回答表!Y235,"")),"")</f>
        <v/>
      </c>
      <c r="AD142" s="119"/>
      <c r="AE142" s="119"/>
      <c r="AF142" s="119"/>
      <c r="AG142" s="119"/>
      <c r="AH142" s="119"/>
      <c r="AI142" s="119"/>
      <c r="AJ142" s="120"/>
      <c r="AK142" s="50"/>
      <c r="AL142" s="50"/>
      <c r="AM142" s="109"/>
      <c r="AN142" s="110"/>
      <c r="AO142" s="110"/>
      <c r="AP142" s="110"/>
      <c r="AQ142" s="110"/>
      <c r="AR142" s="110"/>
      <c r="AS142" s="110"/>
      <c r="AT142" s="110"/>
      <c r="AU142" s="110"/>
      <c r="AV142" s="110"/>
      <c r="AW142" s="110"/>
      <c r="AX142" s="110"/>
      <c r="AY142" s="110"/>
      <c r="AZ142" s="110"/>
      <c r="BA142" s="110"/>
      <c r="BB142" s="111"/>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81"/>
      <c r="E143" s="181"/>
      <c r="F143" s="181"/>
      <c r="G143" s="181"/>
      <c r="H143" s="181"/>
      <c r="I143" s="181"/>
      <c r="J143" s="181"/>
      <c r="K143" s="181"/>
      <c r="L143" s="181"/>
      <c r="M143" s="182"/>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109"/>
      <c r="AN143" s="110"/>
      <c r="AO143" s="110"/>
      <c r="AP143" s="110"/>
      <c r="AQ143" s="110"/>
      <c r="AR143" s="110"/>
      <c r="AS143" s="110"/>
      <c r="AT143" s="110"/>
      <c r="AU143" s="110"/>
      <c r="AV143" s="110"/>
      <c r="AW143" s="110"/>
      <c r="AX143" s="110"/>
      <c r="AY143" s="110"/>
      <c r="AZ143" s="110"/>
      <c r="BA143" s="110"/>
      <c r="BB143" s="111"/>
      <c r="BC143" s="40"/>
      <c r="BD143" s="54"/>
      <c r="BE143" s="82"/>
      <c r="BF143" s="83"/>
      <c r="BG143" s="83"/>
      <c r="BH143" s="83"/>
      <c r="BI143" s="82"/>
      <c r="BJ143" s="83"/>
      <c r="BK143" s="83"/>
      <c r="BL143" s="83"/>
      <c r="BM143" s="82"/>
      <c r="BN143" s="83"/>
      <c r="BO143" s="83"/>
      <c r="BP143" s="86"/>
      <c r="BQ143" s="38"/>
    </row>
    <row r="144" spans="3:69" ht="15.6" customHeight="1" x14ac:dyDescent="0.4">
      <c r="C144" s="33"/>
      <c r="D144" s="181"/>
      <c r="E144" s="181"/>
      <c r="F144" s="181"/>
      <c r="G144" s="181"/>
      <c r="H144" s="181"/>
      <c r="I144" s="181"/>
      <c r="J144" s="181"/>
      <c r="K144" s="181"/>
      <c r="L144" s="181"/>
      <c r="M144" s="182"/>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112"/>
      <c r="AN144" s="113"/>
      <c r="AO144" s="113"/>
      <c r="AP144" s="113"/>
      <c r="AQ144" s="113"/>
      <c r="AR144" s="113"/>
      <c r="AS144" s="113"/>
      <c r="AT144" s="113"/>
      <c r="AU144" s="113"/>
      <c r="AV144" s="113"/>
      <c r="AW144" s="113"/>
      <c r="AX144" s="113"/>
      <c r="AY144" s="113"/>
      <c r="AZ144" s="113"/>
      <c r="BA144" s="113"/>
      <c r="BB144" s="114"/>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81" t="s">
        <v>34</v>
      </c>
      <c r="E147" s="181"/>
      <c r="F147" s="181"/>
      <c r="G147" s="181"/>
      <c r="H147" s="181"/>
      <c r="I147" s="181"/>
      <c r="J147" s="181"/>
      <c r="K147" s="181"/>
      <c r="L147" s="181"/>
      <c r="M147" s="182"/>
      <c r="N147" s="97" t="str">
        <f>IF([5]回答表!F17="下水道事業",IF([5]回答表!AD43="○","○",""),"")</f>
        <v/>
      </c>
      <c r="O147" s="98"/>
      <c r="P147" s="98"/>
      <c r="Q147" s="99"/>
      <c r="R147" s="39"/>
      <c r="S147" s="39"/>
      <c r="T147" s="39"/>
      <c r="U147" s="106" t="str">
        <f>IF([5]回答表!F17="下水道事業",IF([5]回答表!AD43="○",[5]回答表!B249,""),"")</f>
        <v/>
      </c>
      <c r="V147" s="107"/>
      <c r="W147" s="107"/>
      <c r="X147" s="107"/>
      <c r="Y147" s="107"/>
      <c r="Z147" s="107"/>
      <c r="AA147" s="107"/>
      <c r="AB147" s="107"/>
      <c r="AC147" s="107"/>
      <c r="AD147" s="107"/>
      <c r="AE147" s="107"/>
      <c r="AF147" s="107"/>
      <c r="AG147" s="107"/>
      <c r="AH147" s="107"/>
      <c r="AI147" s="107"/>
      <c r="AJ147" s="108"/>
      <c r="AK147" s="56"/>
      <c r="AL147" s="56"/>
      <c r="AM147" s="106" t="str">
        <f>IF([5]回答表!F17="下水道事業",IF([5]回答表!AD43="○",[5]回答表!B255,""),"")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81"/>
      <c r="E148" s="181"/>
      <c r="F148" s="181"/>
      <c r="G148" s="181"/>
      <c r="H148" s="181"/>
      <c r="I148" s="181"/>
      <c r="J148" s="181"/>
      <c r="K148" s="181"/>
      <c r="L148" s="181"/>
      <c r="M148" s="182"/>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81"/>
      <c r="E149" s="181"/>
      <c r="F149" s="181"/>
      <c r="G149" s="181"/>
      <c r="H149" s="181"/>
      <c r="I149" s="181"/>
      <c r="J149" s="181"/>
      <c r="K149" s="181"/>
      <c r="L149" s="181"/>
      <c r="M149" s="182"/>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81"/>
      <c r="E150" s="181"/>
      <c r="F150" s="181"/>
      <c r="G150" s="181"/>
      <c r="H150" s="181"/>
      <c r="I150" s="181"/>
      <c r="J150" s="181"/>
      <c r="K150" s="181"/>
      <c r="L150" s="181"/>
      <c r="M150" s="182"/>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62"/>
      <c r="AS153" s="162"/>
      <c r="AT153" s="162"/>
      <c r="AU153" s="162"/>
      <c r="AV153" s="162"/>
      <c r="AW153" s="162"/>
      <c r="AX153" s="162"/>
      <c r="AY153" s="162"/>
      <c r="AZ153" s="162"/>
      <c r="BA153" s="162"/>
      <c r="BB153" s="162"/>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87"/>
      <c r="AS154" s="187"/>
      <c r="AT154" s="187"/>
      <c r="AU154" s="187"/>
      <c r="AV154" s="187"/>
      <c r="AW154" s="187"/>
      <c r="AX154" s="187"/>
      <c r="AY154" s="187"/>
      <c r="AZ154" s="187"/>
      <c r="BA154" s="187"/>
      <c r="BB154" s="187"/>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81" t="s">
        <v>18</v>
      </c>
      <c r="E159" s="181"/>
      <c r="F159" s="181"/>
      <c r="G159" s="181"/>
      <c r="H159" s="181"/>
      <c r="I159" s="181"/>
      <c r="J159" s="181"/>
      <c r="K159" s="181"/>
      <c r="L159" s="181"/>
      <c r="M159" s="181"/>
      <c r="N159" s="97" t="str">
        <f>IF([5]回答表!BD17="○",IF([5]回答表!X43="○","○",""),"")</f>
        <v/>
      </c>
      <c r="O159" s="98"/>
      <c r="P159" s="98"/>
      <c r="Q159" s="99"/>
      <c r="R159" s="39"/>
      <c r="S159" s="39"/>
      <c r="T159" s="39"/>
      <c r="U159" s="106" t="str">
        <f>IF([5]回答表!BD17="○",IF([5]回答表!X43="○",[5]回答表!B154,IF([5]回答表!AA43="○",[5]回答表!B201,"")),"")</f>
        <v/>
      </c>
      <c r="V159" s="107"/>
      <c r="W159" s="107"/>
      <c r="X159" s="107"/>
      <c r="Y159" s="107"/>
      <c r="Z159" s="107"/>
      <c r="AA159" s="107"/>
      <c r="AB159" s="107"/>
      <c r="AC159" s="107"/>
      <c r="AD159" s="107"/>
      <c r="AE159" s="107"/>
      <c r="AF159" s="107"/>
      <c r="AG159" s="107"/>
      <c r="AH159" s="107"/>
      <c r="AI159" s="107"/>
      <c r="AJ159" s="108"/>
      <c r="AK159" s="50"/>
      <c r="AL159" s="50"/>
      <c r="AM159" s="115" t="str">
        <f>IF([5]回答表!BD17="○",IF([5]回答表!X43="○",[5]回答表!B190,IF([5]回答表!AA43="○",[5]回答表!B238,"")),"")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81"/>
      <c r="E160" s="181"/>
      <c r="F160" s="181"/>
      <c r="G160" s="181"/>
      <c r="H160" s="181"/>
      <c r="I160" s="181"/>
      <c r="J160" s="181"/>
      <c r="K160" s="181"/>
      <c r="L160" s="181"/>
      <c r="M160" s="181"/>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81"/>
      <c r="E161" s="181"/>
      <c r="F161" s="181"/>
      <c r="G161" s="181"/>
      <c r="H161" s="181"/>
      <c r="I161" s="181"/>
      <c r="J161" s="181"/>
      <c r="K161" s="181"/>
      <c r="L161" s="181"/>
      <c r="M161" s="181"/>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81"/>
      <c r="E162" s="181"/>
      <c r="F162" s="181"/>
      <c r="G162" s="181"/>
      <c r="H162" s="181"/>
      <c r="I162" s="181"/>
      <c r="J162" s="181"/>
      <c r="K162" s="181"/>
      <c r="L162" s="181"/>
      <c r="M162" s="181"/>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IF([5]回答表!BD17="○",IF([5]回答表!X43="○",[5]回答表!E190,IF([5]回答表!AA43="○",[5]回答表!E238,"")),"")</f>
        <v/>
      </c>
      <c r="AN162" s="83"/>
      <c r="AO162" s="83"/>
      <c r="AP162" s="83"/>
      <c r="AQ162" s="82" t="str">
        <f>IF([5]回答表!BD17="○",IF([5]回答表!X43="○",[5]回答表!E191,IF([5]回答表!AA43="○",[5]回答表!E239,"")),"")</f>
        <v/>
      </c>
      <c r="AR162" s="83"/>
      <c r="AS162" s="83"/>
      <c r="AT162" s="83"/>
      <c r="AU162" s="82" t="str">
        <f>IF([5]回答表!BD17="○",IF([5]回答表!X43="○",[5]回答表!E192,IF([5]回答表!AA43="○",[5]回答表!E240,"")),"")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86" t="s">
        <v>26</v>
      </c>
      <c r="E165" s="181"/>
      <c r="F165" s="181"/>
      <c r="G165" s="181"/>
      <c r="H165" s="181"/>
      <c r="I165" s="181"/>
      <c r="J165" s="181"/>
      <c r="K165" s="181"/>
      <c r="L165" s="181"/>
      <c r="M165" s="182"/>
      <c r="N165" s="97" t="str">
        <f>IF([5]回答表!BD17="○",IF([5]回答表!AA43="○","○",""),"")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81"/>
      <c r="E166" s="181"/>
      <c r="F166" s="181"/>
      <c r="G166" s="181"/>
      <c r="H166" s="181"/>
      <c r="I166" s="181"/>
      <c r="J166" s="181"/>
      <c r="K166" s="181"/>
      <c r="L166" s="181"/>
      <c r="M166" s="182"/>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81"/>
      <c r="E167" s="181"/>
      <c r="F167" s="181"/>
      <c r="G167" s="181"/>
      <c r="H167" s="181"/>
      <c r="I167" s="181"/>
      <c r="J167" s="181"/>
      <c r="K167" s="181"/>
      <c r="L167" s="181"/>
      <c r="M167" s="182"/>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81"/>
      <c r="E168" s="181"/>
      <c r="F168" s="181"/>
      <c r="G168" s="181"/>
      <c r="H168" s="181"/>
      <c r="I168" s="181"/>
      <c r="J168" s="181"/>
      <c r="K168" s="181"/>
      <c r="L168" s="181"/>
      <c r="M168" s="182"/>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81" t="s">
        <v>34</v>
      </c>
      <c r="E171" s="181"/>
      <c r="F171" s="181"/>
      <c r="G171" s="181"/>
      <c r="H171" s="181"/>
      <c r="I171" s="181"/>
      <c r="J171" s="181"/>
      <c r="K171" s="181"/>
      <c r="L171" s="181"/>
      <c r="M171" s="182"/>
      <c r="N171" s="97" t="str">
        <f>IF([5]回答表!BD17="○",IF([5]回答表!AD43="○","○",""),"")</f>
        <v/>
      </c>
      <c r="O171" s="98"/>
      <c r="P171" s="98"/>
      <c r="Q171" s="99"/>
      <c r="R171" s="39"/>
      <c r="S171" s="39"/>
      <c r="T171" s="39"/>
      <c r="U171" s="106" t="str">
        <f>IF([5]回答表!BD17="○",IF([5]回答表!AD43="○",[5]回答表!B249,""),"")</f>
        <v/>
      </c>
      <c r="V171" s="107"/>
      <c r="W171" s="107"/>
      <c r="X171" s="107"/>
      <c r="Y171" s="107"/>
      <c r="Z171" s="107"/>
      <c r="AA171" s="107"/>
      <c r="AB171" s="107"/>
      <c r="AC171" s="107"/>
      <c r="AD171" s="107"/>
      <c r="AE171" s="107"/>
      <c r="AF171" s="107"/>
      <c r="AG171" s="107"/>
      <c r="AH171" s="107"/>
      <c r="AI171" s="107"/>
      <c r="AJ171" s="108"/>
      <c r="AK171" s="56"/>
      <c r="AL171" s="56"/>
      <c r="AM171" s="106" t="str">
        <f>IF([5]回答表!BD17="○",IF([5]回答表!AD43="○",[5]回答表!B255,""),"")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81"/>
      <c r="E172" s="181"/>
      <c r="F172" s="181"/>
      <c r="G172" s="181"/>
      <c r="H172" s="181"/>
      <c r="I172" s="181"/>
      <c r="J172" s="181"/>
      <c r="K172" s="181"/>
      <c r="L172" s="181"/>
      <c r="M172" s="182"/>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81"/>
      <c r="E173" s="181"/>
      <c r="F173" s="181"/>
      <c r="G173" s="181"/>
      <c r="H173" s="181"/>
      <c r="I173" s="181"/>
      <c r="J173" s="181"/>
      <c r="K173" s="181"/>
      <c r="L173" s="181"/>
      <c r="M173" s="182"/>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81"/>
      <c r="E174" s="181"/>
      <c r="F174" s="181"/>
      <c r="G174" s="181"/>
      <c r="H174" s="181"/>
      <c r="I174" s="181"/>
      <c r="J174" s="181"/>
      <c r="K174" s="181"/>
      <c r="L174" s="181"/>
      <c r="M174" s="182"/>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62"/>
      <c r="AS177" s="162"/>
      <c r="AT177" s="162"/>
      <c r="AU177" s="162"/>
      <c r="AV177" s="162"/>
      <c r="AW177" s="162"/>
      <c r="AX177" s="162"/>
      <c r="AY177" s="162"/>
      <c r="AZ177" s="162"/>
      <c r="BA177" s="162"/>
      <c r="BB177" s="162"/>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87"/>
      <c r="AS178" s="187"/>
      <c r="AT178" s="187"/>
      <c r="AU178" s="187"/>
      <c r="AV178" s="187"/>
      <c r="AW178" s="187"/>
      <c r="AX178" s="187"/>
      <c r="AY178" s="187"/>
      <c r="AZ178" s="187"/>
      <c r="BA178" s="187"/>
      <c r="BB178" s="187"/>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81" t="s">
        <v>18</v>
      </c>
      <c r="E183" s="181"/>
      <c r="F183" s="181"/>
      <c r="G183" s="181"/>
      <c r="H183" s="181"/>
      <c r="I183" s="181"/>
      <c r="J183" s="181"/>
      <c r="K183" s="181"/>
      <c r="L183" s="181"/>
      <c r="M183" s="181"/>
      <c r="N183" s="97" t="str">
        <f>IF([5]回答表!X44="○","○","")</f>
        <v>○</v>
      </c>
      <c r="O183" s="98"/>
      <c r="P183" s="98"/>
      <c r="Q183" s="99"/>
      <c r="R183" s="39"/>
      <c r="S183" s="39"/>
      <c r="T183" s="39"/>
      <c r="U183" s="151" t="str">
        <f>IF([5]回答表!X44="○",[5]回答表!B266,IF([5]回答表!AA44="○",[5]回答表!B283,""))</f>
        <v>老人デイサービスセンター（デイサービスセンターかつら：定員２５人、デイサービスセンター大滝：定員３５人）の管理・運営
住民サービスの充実、介護サービスの質の向上が図られた。</v>
      </c>
      <c r="V183" s="152"/>
      <c r="W183" s="152"/>
      <c r="X183" s="152"/>
      <c r="Y183" s="152"/>
      <c r="Z183" s="152"/>
      <c r="AA183" s="152"/>
      <c r="AB183" s="152"/>
      <c r="AC183" s="152"/>
      <c r="AD183" s="152"/>
      <c r="AE183" s="152"/>
      <c r="AF183" s="152"/>
      <c r="AG183" s="152"/>
      <c r="AH183" s="152"/>
      <c r="AI183" s="152"/>
      <c r="AJ183" s="153"/>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IF([5]回答表!X44="○",[5]回答表!U272,IF([5]回答表!AA44="○",[5]回答表!U289,""))</f>
        <v>平成</v>
      </c>
      <c r="BF183" s="116"/>
      <c r="BG183" s="116"/>
      <c r="BH183" s="116"/>
      <c r="BI183" s="115"/>
      <c r="BJ183" s="116"/>
      <c r="BK183" s="116"/>
      <c r="BL183" s="116"/>
      <c r="BM183" s="115"/>
      <c r="BN183" s="116"/>
      <c r="BO183" s="116"/>
      <c r="BP183" s="117"/>
      <c r="BQ183" s="38"/>
      <c r="BR183" s="25"/>
    </row>
    <row r="184" spans="3:70" ht="15.6" customHeight="1" x14ac:dyDescent="0.4">
      <c r="C184" s="33"/>
      <c r="D184" s="181"/>
      <c r="E184" s="181"/>
      <c r="F184" s="181"/>
      <c r="G184" s="181"/>
      <c r="H184" s="181"/>
      <c r="I184" s="181"/>
      <c r="J184" s="181"/>
      <c r="K184" s="181"/>
      <c r="L184" s="181"/>
      <c r="M184" s="181"/>
      <c r="N184" s="100"/>
      <c r="O184" s="101"/>
      <c r="P184" s="101"/>
      <c r="Q184" s="102"/>
      <c r="R184" s="39"/>
      <c r="S184" s="39"/>
      <c r="T184" s="39"/>
      <c r="U184" s="154"/>
      <c r="V184" s="155"/>
      <c r="W184" s="155"/>
      <c r="X184" s="155"/>
      <c r="Y184" s="155"/>
      <c r="Z184" s="155"/>
      <c r="AA184" s="155"/>
      <c r="AB184" s="155"/>
      <c r="AC184" s="155"/>
      <c r="AD184" s="155"/>
      <c r="AE184" s="155"/>
      <c r="AF184" s="155"/>
      <c r="AG184" s="155"/>
      <c r="AH184" s="155"/>
      <c r="AI184" s="155"/>
      <c r="AJ184" s="156"/>
      <c r="AK184" s="50"/>
      <c r="AL184" s="50"/>
      <c r="AM184" s="183"/>
      <c r="AN184" s="184"/>
      <c r="AO184" s="184"/>
      <c r="AP184" s="184"/>
      <c r="AQ184" s="184"/>
      <c r="AR184" s="184"/>
      <c r="AS184" s="184"/>
      <c r="AT184" s="185"/>
      <c r="AU184" s="183"/>
      <c r="AV184" s="184"/>
      <c r="AW184" s="184"/>
      <c r="AX184" s="184"/>
      <c r="AY184" s="184"/>
      <c r="AZ184" s="184"/>
      <c r="BA184" s="184"/>
      <c r="BB184" s="185"/>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81"/>
      <c r="E185" s="181"/>
      <c r="F185" s="181"/>
      <c r="G185" s="181"/>
      <c r="H185" s="181"/>
      <c r="I185" s="181"/>
      <c r="J185" s="181"/>
      <c r="K185" s="181"/>
      <c r="L185" s="181"/>
      <c r="M185" s="181"/>
      <c r="N185" s="100"/>
      <c r="O185" s="101"/>
      <c r="P185" s="101"/>
      <c r="Q185" s="102"/>
      <c r="R185" s="39"/>
      <c r="S185" s="39"/>
      <c r="T185" s="39"/>
      <c r="U185" s="154"/>
      <c r="V185" s="155"/>
      <c r="W185" s="155"/>
      <c r="X185" s="155"/>
      <c r="Y185" s="155"/>
      <c r="Z185" s="155"/>
      <c r="AA185" s="155"/>
      <c r="AB185" s="155"/>
      <c r="AC185" s="155"/>
      <c r="AD185" s="155"/>
      <c r="AE185" s="155"/>
      <c r="AF185" s="155"/>
      <c r="AG185" s="155"/>
      <c r="AH185" s="155"/>
      <c r="AI185" s="155"/>
      <c r="AJ185" s="156"/>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81"/>
      <c r="E186" s="181"/>
      <c r="F186" s="181"/>
      <c r="G186" s="181"/>
      <c r="H186" s="181"/>
      <c r="I186" s="181"/>
      <c r="J186" s="181"/>
      <c r="K186" s="181"/>
      <c r="L186" s="181"/>
      <c r="M186" s="181"/>
      <c r="N186" s="103"/>
      <c r="O186" s="104"/>
      <c r="P186" s="104"/>
      <c r="Q186" s="105"/>
      <c r="R186" s="39"/>
      <c r="S186" s="39"/>
      <c r="T186" s="39"/>
      <c r="U186" s="154"/>
      <c r="V186" s="155"/>
      <c r="W186" s="155"/>
      <c r="X186" s="155"/>
      <c r="Y186" s="155"/>
      <c r="Z186" s="155"/>
      <c r="AA186" s="155"/>
      <c r="AB186" s="155"/>
      <c r="AC186" s="155"/>
      <c r="AD186" s="155"/>
      <c r="AE186" s="155"/>
      <c r="AF186" s="155"/>
      <c r="AG186" s="155"/>
      <c r="AH186" s="155"/>
      <c r="AI186" s="155"/>
      <c r="AJ186" s="156"/>
      <c r="AK186" s="50"/>
      <c r="AL186" s="50"/>
      <c r="AM186" s="118">
        <f>IF([5]回答表!X44="○",[5]回答表!G272,IF([5]回答表!AA44="○",[5]回答表!G289,""))</f>
        <v>0</v>
      </c>
      <c r="AN186" s="119"/>
      <c r="AO186" s="119"/>
      <c r="AP186" s="119"/>
      <c r="AQ186" s="119"/>
      <c r="AR186" s="119"/>
      <c r="AS186" s="119"/>
      <c r="AT186" s="120"/>
      <c r="AU186" s="118" t="str">
        <f>IF([5]回答表!X44="○",[5]回答表!G273,IF([5]回答表!AA44="○",[5]回答表!G290,""))</f>
        <v>○</v>
      </c>
      <c r="AV186" s="119"/>
      <c r="AW186" s="119"/>
      <c r="AX186" s="119"/>
      <c r="AY186" s="119"/>
      <c r="AZ186" s="119"/>
      <c r="BA186" s="119"/>
      <c r="BB186" s="120"/>
      <c r="BC186" s="40"/>
      <c r="BD186" s="35"/>
      <c r="BE186" s="82">
        <f>IF([5]回答表!X44="○",[5]回答表!X272,IF([5]回答表!AA44="○",[5]回答表!X289,""))</f>
        <v>18</v>
      </c>
      <c r="BF186" s="83"/>
      <c r="BG186" s="83"/>
      <c r="BH186" s="83"/>
      <c r="BI186" s="82">
        <f>IF([5]回答表!X44="○",[5]回答表!X273,IF([5]回答表!AA44="○",[5]回答表!X290,""))</f>
        <v>4</v>
      </c>
      <c r="BJ186" s="83"/>
      <c r="BK186" s="83"/>
      <c r="BL186" s="86"/>
      <c r="BM186" s="82">
        <f>IF([5]回答表!X44="○",[5]回答表!X274,IF([5]回答表!AA44="○",[5]回答表!X291,""))</f>
        <v>1</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54"/>
      <c r="V187" s="155"/>
      <c r="W187" s="155"/>
      <c r="X187" s="155"/>
      <c r="Y187" s="155"/>
      <c r="Z187" s="155"/>
      <c r="AA187" s="155"/>
      <c r="AB187" s="155"/>
      <c r="AC187" s="155"/>
      <c r="AD187" s="155"/>
      <c r="AE187" s="155"/>
      <c r="AF187" s="155"/>
      <c r="AG187" s="155"/>
      <c r="AH187" s="155"/>
      <c r="AI187" s="155"/>
      <c r="AJ187" s="156"/>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54"/>
      <c r="V188" s="155"/>
      <c r="W188" s="155"/>
      <c r="X188" s="155"/>
      <c r="Y188" s="155"/>
      <c r="Z188" s="155"/>
      <c r="AA188" s="155"/>
      <c r="AB188" s="155"/>
      <c r="AC188" s="155"/>
      <c r="AD188" s="155"/>
      <c r="AE188" s="155"/>
      <c r="AF188" s="155"/>
      <c r="AG188" s="155"/>
      <c r="AH188" s="155"/>
      <c r="AI188" s="155"/>
      <c r="AJ188" s="156"/>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86" t="s">
        <v>26</v>
      </c>
      <c r="E189" s="181"/>
      <c r="F189" s="181"/>
      <c r="G189" s="181"/>
      <c r="H189" s="181"/>
      <c r="I189" s="181"/>
      <c r="J189" s="181"/>
      <c r="K189" s="181"/>
      <c r="L189" s="181"/>
      <c r="M189" s="182"/>
      <c r="N189" s="97" t="str">
        <f>IF([5]回答表!AA44="○","○","")</f>
        <v/>
      </c>
      <c r="O189" s="98"/>
      <c r="P189" s="98"/>
      <c r="Q189" s="99"/>
      <c r="R189" s="39"/>
      <c r="S189" s="39"/>
      <c r="T189" s="39"/>
      <c r="U189" s="154"/>
      <c r="V189" s="155"/>
      <c r="W189" s="155"/>
      <c r="X189" s="155"/>
      <c r="Y189" s="155"/>
      <c r="Z189" s="155"/>
      <c r="AA189" s="155"/>
      <c r="AB189" s="155"/>
      <c r="AC189" s="155"/>
      <c r="AD189" s="155"/>
      <c r="AE189" s="155"/>
      <c r="AF189" s="155"/>
      <c r="AG189" s="155"/>
      <c r="AH189" s="155"/>
      <c r="AI189" s="155"/>
      <c r="AJ189" s="156"/>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81"/>
      <c r="E190" s="181"/>
      <c r="F190" s="181"/>
      <c r="G190" s="181"/>
      <c r="H190" s="181"/>
      <c r="I190" s="181"/>
      <c r="J190" s="181"/>
      <c r="K190" s="181"/>
      <c r="L190" s="181"/>
      <c r="M190" s="182"/>
      <c r="N190" s="100"/>
      <c r="O190" s="101"/>
      <c r="P190" s="101"/>
      <c r="Q190" s="102"/>
      <c r="R190" s="39"/>
      <c r="S190" s="39"/>
      <c r="T190" s="39"/>
      <c r="U190" s="154"/>
      <c r="V190" s="155"/>
      <c r="W190" s="155"/>
      <c r="X190" s="155"/>
      <c r="Y190" s="155"/>
      <c r="Z190" s="155"/>
      <c r="AA190" s="155"/>
      <c r="AB190" s="155"/>
      <c r="AC190" s="155"/>
      <c r="AD190" s="155"/>
      <c r="AE190" s="155"/>
      <c r="AF190" s="155"/>
      <c r="AG190" s="155"/>
      <c r="AH190" s="155"/>
      <c r="AI190" s="155"/>
      <c r="AJ190" s="156"/>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81"/>
      <c r="E191" s="181"/>
      <c r="F191" s="181"/>
      <c r="G191" s="181"/>
      <c r="H191" s="181"/>
      <c r="I191" s="181"/>
      <c r="J191" s="181"/>
      <c r="K191" s="181"/>
      <c r="L191" s="181"/>
      <c r="M191" s="182"/>
      <c r="N191" s="100"/>
      <c r="O191" s="101"/>
      <c r="P191" s="101"/>
      <c r="Q191" s="102"/>
      <c r="R191" s="39"/>
      <c r="S191" s="39"/>
      <c r="T191" s="39"/>
      <c r="U191" s="154"/>
      <c r="V191" s="155"/>
      <c r="W191" s="155"/>
      <c r="X191" s="155"/>
      <c r="Y191" s="155"/>
      <c r="Z191" s="155"/>
      <c r="AA191" s="155"/>
      <c r="AB191" s="155"/>
      <c r="AC191" s="155"/>
      <c r="AD191" s="155"/>
      <c r="AE191" s="155"/>
      <c r="AF191" s="155"/>
      <c r="AG191" s="155"/>
      <c r="AH191" s="155"/>
      <c r="AI191" s="155"/>
      <c r="AJ191" s="156"/>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81"/>
      <c r="E192" s="181"/>
      <c r="F192" s="181"/>
      <c r="G192" s="181"/>
      <c r="H192" s="181"/>
      <c r="I192" s="181"/>
      <c r="J192" s="181"/>
      <c r="K192" s="181"/>
      <c r="L192" s="181"/>
      <c r="M192" s="182"/>
      <c r="N192" s="103"/>
      <c r="O192" s="104"/>
      <c r="P192" s="104"/>
      <c r="Q192" s="105"/>
      <c r="R192" s="39"/>
      <c r="S192" s="39"/>
      <c r="T192" s="39"/>
      <c r="U192" s="157"/>
      <c r="V192" s="158"/>
      <c r="W192" s="158"/>
      <c r="X192" s="158"/>
      <c r="Y192" s="158"/>
      <c r="Z192" s="158"/>
      <c r="AA192" s="158"/>
      <c r="AB192" s="158"/>
      <c r="AC192" s="158"/>
      <c r="AD192" s="158"/>
      <c r="AE192" s="158"/>
      <c r="AF192" s="158"/>
      <c r="AG192" s="158"/>
      <c r="AH192" s="158"/>
      <c r="AI192" s="158"/>
      <c r="AJ192" s="159"/>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81" t="s">
        <v>34</v>
      </c>
      <c r="E195" s="181"/>
      <c r="F195" s="181"/>
      <c r="G195" s="181"/>
      <c r="H195" s="181"/>
      <c r="I195" s="181"/>
      <c r="J195" s="181"/>
      <c r="K195" s="181"/>
      <c r="L195" s="181"/>
      <c r="M195" s="182"/>
      <c r="N195" s="97" t="str">
        <f>IF([5]回答表!AD44="○","○","")</f>
        <v/>
      </c>
      <c r="O195" s="98"/>
      <c r="P195" s="98"/>
      <c r="Q195" s="99"/>
      <c r="R195" s="39"/>
      <c r="S195" s="39"/>
      <c r="T195" s="39"/>
      <c r="U195" s="106" t="str">
        <f>IF([5]回答表!AD44="○",[5]回答表!B296,"")</f>
        <v/>
      </c>
      <c r="V195" s="107"/>
      <c r="W195" s="107"/>
      <c r="X195" s="107"/>
      <c r="Y195" s="107"/>
      <c r="Z195" s="107"/>
      <c r="AA195" s="107"/>
      <c r="AB195" s="107"/>
      <c r="AC195" s="107"/>
      <c r="AD195" s="107"/>
      <c r="AE195" s="107"/>
      <c r="AF195" s="107"/>
      <c r="AG195" s="107"/>
      <c r="AH195" s="107"/>
      <c r="AI195" s="107"/>
      <c r="AJ195" s="108"/>
      <c r="AK195" s="61"/>
      <c r="AL195" s="61"/>
      <c r="AM195" s="106" t="str">
        <f>IF([5]回答表!AD44="○",[5]回答表!B302,"")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81"/>
      <c r="E196" s="181"/>
      <c r="F196" s="181"/>
      <c r="G196" s="181"/>
      <c r="H196" s="181"/>
      <c r="I196" s="181"/>
      <c r="J196" s="181"/>
      <c r="K196" s="181"/>
      <c r="L196" s="181"/>
      <c r="M196" s="182"/>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81"/>
      <c r="E197" s="181"/>
      <c r="F197" s="181"/>
      <c r="G197" s="181"/>
      <c r="H197" s="181"/>
      <c r="I197" s="181"/>
      <c r="J197" s="181"/>
      <c r="K197" s="181"/>
      <c r="L197" s="181"/>
      <c r="M197" s="182"/>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81"/>
      <c r="E198" s="181"/>
      <c r="F198" s="181"/>
      <c r="G198" s="181"/>
      <c r="H198" s="181"/>
      <c r="I198" s="181"/>
      <c r="J198" s="181"/>
      <c r="K198" s="181"/>
      <c r="L198" s="181"/>
      <c r="M198" s="182"/>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62"/>
      <c r="AS201" s="162"/>
      <c r="AT201" s="162"/>
      <c r="AU201" s="162"/>
      <c r="AV201" s="162"/>
      <c r="AW201" s="162"/>
      <c r="AX201" s="162"/>
      <c r="AY201" s="162"/>
      <c r="AZ201" s="162"/>
      <c r="BA201" s="162"/>
      <c r="BB201" s="162"/>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63"/>
      <c r="AS202" s="163"/>
      <c r="AT202" s="163"/>
      <c r="AU202" s="163"/>
      <c r="AV202" s="163"/>
      <c r="AW202" s="163"/>
      <c r="AX202" s="163"/>
      <c r="AY202" s="163"/>
      <c r="AZ202" s="163"/>
      <c r="BA202" s="163"/>
      <c r="BB202" s="163"/>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IF([5]回答表!X45="○","○","")</f>
        <v/>
      </c>
      <c r="O207" s="98"/>
      <c r="P207" s="98"/>
      <c r="Q207" s="99"/>
      <c r="R207" s="39"/>
      <c r="S207" s="39"/>
      <c r="T207" s="39"/>
      <c r="U207" s="106" t="str">
        <f>IF([5]回答表!X45="○",[5]回答表!B314,IF([5]回答表!AA45="○",[5]回答表!B337,""))</f>
        <v/>
      </c>
      <c r="V207" s="107"/>
      <c r="W207" s="107"/>
      <c r="X207" s="107"/>
      <c r="Y207" s="107"/>
      <c r="Z207" s="107"/>
      <c r="AA207" s="107"/>
      <c r="AB207" s="107"/>
      <c r="AC207" s="107"/>
      <c r="AD207" s="107"/>
      <c r="AE207" s="107"/>
      <c r="AF207" s="107"/>
      <c r="AG207" s="107"/>
      <c r="AH207" s="107"/>
      <c r="AI207" s="107"/>
      <c r="AJ207" s="108"/>
      <c r="AK207" s="50"/>
      <c r="AL207" s="50"/>
      <c r="AM207" s="50"/>
      <c r="AN207" s="106" t="str">
        <f>IF([5]回答表!X45="○",[5]回答表!B320,"")</f>
        <v/>
      </c>
      <c r="AO207" s="173"/>
      <c r="AP207" s="173"/>
      <c r="AQ207" s="173"/>
      <c r="AR207" s="173"/>
      <c r="AS207" s="173"/>
      <c r="AT207" s="173"/>
      <c r="AU207" s="173"/>
      <c r="AV207" s="173"/>
      <c r="AW207" s="173"/>
      <c r="AX207" s="173"/>
      <c r="AY207" s="173"/>
      <c r="AZ207" s="173"/>
      <c r="BA207" s="173"/>
      <c r="BB207" s="174"/>
      <c r="BC207" s="40"/>
      <c r="BD207" s="35"/>
      <c r="BE207" s="115" t="str">
        <f>IF([5]回答表!X45="○",[5]回答表!B326,IF([5]回答表!AA45="○",[5]回答表!B343,""))</f>
        <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75"/>
      <c r="AO208" s="176"/>
      <c r="AP208" s="176"/>
      <c r="AQ208" s="176"/>
      <c r="AR208" s="176"/>
      <c r="AS208" s="176"/>
      <c r="AT208" s="176"/>
      <c r="AU208" s="176"/>
      <c r="AV208" s="176"/>
      <c r="AW208" s="176"/>
      <c r="AX208" s="176"/>
      <c r="AY208" s="176"/>
      <c r="AZ208" s="176"/>
      <c r="BA208" s="176"/>
      <c r="BB208" s="177"/>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75"/>
      <c r="AO209" s="176"/>
      <c r="AP209" s="176"/>
      <c r="AQ209" s="176"/>
      <c r="AR209" s="176"/>
      <c r="AS209" s="176"/>
      <c r="AT209" s="176"/>
      <c r="AU209" s="176"/>
      <c r="AV209" s="176"/>
      <c r="AW209" s="176"/>
      <c r="AX209" s="176"/>
      <c r="AY209" s="176"/>
      <c r="AZ209" s="176"/>
      <c r="BA209" s="176"/>
      <c r="BB209" s="177"/>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75"/>
      <c r="AO210" s="176"/>
      <c r="AP210" s="176"/>
      <c r="AQ210" s="176"/>
      <c r="AR210" s="176"/>
      <c r="AS210" s="176"/>
      <c r="AT210" s="176"/>
      <c r="AU210" s="176"/>
      <c r="AV210" s="176"/>
      <c r="AW210" s="176"/>
      <c r="AX210" s="176"/>
      <c r="AY210" s="176"/>
      <c r="AZ210" s="176"/>
      <c r="BA210" s="176"/>
      <c r="BB210" s="177"/>
      <c r="BC210" s="40"/>
      <c r="BD210" s="35"/>
      <c r="BE210" s="82" t="str">
        <f>IF([5]回答表!X45="○",[5]回答表!E326,IF([5]回答表!AA45="○",[5]回答表!E343,""))</f>
        <v/>
      </c>
      <c r="BF210" s="83"/>
      <c r="BG210" s="83"/>
      <c r="BH210" s="83"/>
      <c r="BI210" s="82" t="str">
        <f>IF([5]回答表!X45="○",[5]回答表!E327,IF([5]回答表!AA45="○",[5]回答表!E344,""))</f>
        <v/>
      </c>
      <c r="BJ210" s="83"/>
      <c r="BK210" s="83"/>
      <c r="BL210" s="86"/>
      <c r="BM210" s="82" t="str">
        <f>IF([5]回答表!X45="○",[5]回答表!E328,IF([5]回答表!AA45="○",[5]回答表!E345,""))</f>
        <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75"/>
      <c r="AO211" s="176"/>
      <c r="AP211" s="176"/>
      <c r="AQ211" s="176"/>
      <c r="AR211" s="176"/>
      <c r="AS211" s="176"/>
      <c r="AT211" s="176"/>
      <c r="AU211" s="176"/>
      <c r="AV211" s="176"/>
      <c r="AW211" s="176"/>
      <c r="AX211" s="176"/>
      <c r="AY211" s="176"/>
      <c r="AZ211" s="176"/>
      <c r="BA211" s="176"/>
      <c r="BB211" s="177"/>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75"/>
      <c r="AO212" s="176"/>
      <c r="AP212" s="176"/>
      <c r="AQ212" s="176"/>
      <c r="AR212" s="176"/>
      <c r="AS212" s="176"/>
      <c r="AT212" s="176"/>
      <c r="AU212" s="176"/>
      <c r="AV212" s="176"/>
      <c r="AW212" s="176"/>
      <c r="AX212" s="176"/>
      <c r="AY212" s="176"/>
      <c r="AZ212" s="176"/>
      <c r="BA212" s="176"/>
      <c r="BB212" s="177"/>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IF([5]回答表!AA45="○","○","")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75"/>
      <c r="AO213" s="176"/>
      <c r="AP213" s="176"/>
      <c r="AQ213" s="176"/>
      <c r="AR213" s="176"/>
      <c r="AS213" s="176"/>
      <c r="AT213" s="176"/>
      <c r="AU213" s="176"/>
      <c r="AV213" s="176"/>
      <c r="AW213" s="176"/>
      <c r="AX213" s="176"/>
      <c r="AY213" s="176"/>
      <c r="AZ213" s="176"/>
      <c r="BA213" s="176"/>
      <c r="BB213" s="177"/>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75"/>
      <c r="AO214" s="176"/>
      <c r="AP214" s="176"/>
      <c r="AQ214" s="176"/>
      <c r="AR214" s="176"/>
      <c r="AS214" s="176"/>
      <c r="AT214" s="176"/>
      <c r="AU214" s="176"/>
      <c r="AV214" s="176"/>
      <c r="AW214" s="176"/>
      <c r="AX214" s="176"/>
      <c r="AY214" s="176"/>
      <c r="AZ214" s="176"/>
      <c r="BA214" s="176"/>
      <c r="BB214" s="177"/>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75"/>
      <c r="AO215" s="176"/>
      <c r="AP215" s="176"/>
      <c r="AQ215" s="176"/>
      <c r="AR215" s="176"/>
      <c r="AS215" s="176"/>
      <c r="AT215" s="176"/>
      <c r="AU215" s="176"/>
      <c r="AV215" s="176"/>
      <c r="AW215" s="176"/>
      <c r="AX215" s="176"/>
      <c r="AY215" s="176"/>
      <c r="AZ215" s="176"/>
      <c r="BA215" s="176"/>
      <c r="BB215" s="177"/>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78"/>
      <c r="AO216" s="179"/>
      <c r="AP216" s="179"/>
      <c r="AQ216" s="179"/>
      <c r="AR216" s="179"/>
      <c r="AS216" s="179"/>
      <c r="AT216" s="179"/>
      <c r="AU216" s="179"/>
      <c r="AV216" s="179"/>
      <c r="AW216" s="179"/>
      <c r="AX216" s="179"/>
      <c r="AY216" s="179"/>
      <c r="AZ216" s="179"/>
      <c r="BA216" s="179"/>
      <c r="BB216" s="180"/>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IF([5]回答表!AD45="○","○","")</f>
        <v/>
      </c>
      <c r="O219" s="98"/>
      <c r="P219" s="98"/>
      <c r="Q219" s="99"/>
      <c r="R219" s="39"/>
      <c r="S219" s="39"/>
      <c r="T219" s="39"/>
      <c r="U219" s="106" t="str">
        <f>IF([5]回答表!AD45="○",[5]回答表!B350,"")</f>
        <v/>
      </c>
      <c r="V219" s="107"/>
      <c r="W219" s="107"/>
      <c r="X219" s="107"/>
      <c r="Y219" s="107"/>
      <c r="Z219" s="107"/>
      <c r="AA219" s="107"/>
      <c r="AB219" s="107"/>
      <c r="AC219" s="107"/>
      <c r="AD219" s="107"/>
      <c r="AE219" s="107"/>
      <c r="AF219" s="107"/>
      <c r="AG219" s="107"/>
      <c r="AH219" s="107"/>
      <c r="AI219" s="107"/>
      <c r="AJ219" s="108"/>
      <c r="AK219" s="61"/>
      <c r="AL219" s="61"/>
      <c r="AM219" s="106" t="str">
        <f>IF([5]回答表!AD45="○",[5]回答表!B356,"")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62"/>
      <c r="AS225" s="162"/>
      <c r="AT225" s="162"/>
      <c r="AU225" s="162"/>
      <c r="AV225" s="162"/>
      <c r="AW225" s="162"/>
      <c r="AX225" s="162"/>
      <c r="AY225" s="162"/>
      <c r="AZ225" s="162"/>
      <c r="BA225" s="162"/>
      <c r="BB225" s="162"/>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63"/>
      <c r="AS226" s="163"/>
      <c r="AT226" s="163"/>
      <c r="AU226" s="163"/>
      <c r="AV226" s="163"/>
      <c r="AW226" s="163"/>
      <c r="AX226" s="163"/>
      <c r="AY226" s="163"/>
      <c r="AZ226" s="163"/>
      <c r="BA226" s="163"/>
      <c r="BB226" s="163"/>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IF([5]回答表!X46="○","○","")</f>
        <v/>
      </c>
      <c r="O231" s="98"/>
      <c r="P231" s="98"/>
      <c r="Q231" s="99"/>
      <c r="R231" s="39"/>
      <c r="S231" s="39"/>
      <c r="T231" s="39"/>
      <c r="U231" s="106" t="str">
        <f>IF([5]回答表!X46="○",[5]回答表!B368,IF([5]回答表!AA46="○",[5]回答表!B382,""))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IF([5]回答表!X46="○",[5]回答表!BC375,IF([5]回答表!AA46="○",[5]回答表!BC389,""))</f>
        <v/>
      </c>
      <c r="AR231" s="150"/>
      <c r="AS231" s="150"/>
      <c r="AT231" s="150"/>
      <c r="AU231" s="164" t="s">
        <v>63</v>
      </c>
      <c r="AV231" s="165"/>
      <c r="AW231" s="165"/>
      <c r="AX231" s="166"/>
      <c r="AY231" s="150" t="str">
        <f>IF([5]回答表!X46="○",[5]回答表!BC380,IF([5]回答表!AA46="○",[5]回答表!BC394,""))</f>
        <v/>
      </c>
      <c r="AZ231" s="150"/>
      <c r="BA231" s="150"/>
      <c r="BB231" s="150"/>
      <c r="BC231" s="40"/>
      <c r="BD231" s="35"/>
      <c r="BE231" s="115" t="str">
        <f>IF([5]回答表!X46="○",[5]回答表!S374,IF([5]回答表!AA46="○",[5]回答表!S388,""))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67"/>
      <c r="AV232" s="168"/>
      <c r="AW232" s="168"/>
      <c r="AX232" s="169"/>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IF([5]回答表!X46="○",[5]回答表!BC376,IF([5]回答表!AA46="○",[5]回答表!BC390,""))</f>
        <v/>
      </c>
      <c r="AR233" s="150"/>
      <c r="AS233" s="150"/>
      <c r="AT233" s="150"/>
      <c r="AU233" s="167"/>
      <c r="AV233" s="168"/>
      <c r="AW233" s="168"/>
      <c r="AX233" s="169"/>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67"/>
      <c r="AV234" s="168"/>
      <c r="AW234" s="168"/>
      <c r="AX234" s="169"/>
      <c r="AY234" s="150"/>
      <c r="AZ234" s="150"/>
      <c r="BA234" s="150"/>
      <c r="BB234" s="150"/>
      <c r="BC234" s="40"/>
      <c r="BD234" s="35"/>
      <c r="BE234" s="82" t="str">
        <f>IF([5]回答表!X46="○",[5]回答表!V374,IF([5]回答表!AA46="○",[5]回答表!V388,""))</f>
        <v/>
      </c>
      <c r="BF234" s="83"/>
      <c r="BG234" s="83"/>
      <c r="BH234" s="83"/>
      <c r="BI234" s="82" t="str">
        <f>IF([5]回答表!X46="○",[5]回答表!V375,IF([5]回答表!AA46="○",[5]回答表!V389,""))</f>
        <v/>
      </c>
      <c r="BJ234" s="83"/>
      <c r="BK234" s="83"/>
      <c r="BL234" s="86"/>
      <c r="BM234" s="82" t="str">
        <f>IF([5]回答表!X46="○",[5]回答表!V376,IF([5]回答表!AA46="○",[5]回答表!V390,""))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IF([5]回答表!X46="○",[5]回答表!BC377,IF([5]回答表!AA46="○",[5]回答表!BC391,""))</f>
        <v/>
      </c>
      <c r="AR235" s="150"/>
      <c r="AS235" s="150"/>
      <c r="AT235" s="150"/>
      <c r="AU235" s="170"/>
      <c r="AV235" s="171"/>
      <c r="AW235" s="171"/>
      <c r="AX235" s="172"/>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60" t="str">
        <f>IF([5]回答表!X46="○",[5]回答表!BC381,IF([5]回答表!AA46="○",[5]回答表!BC395,""))</f>
        <v/>
      </c>
      <c r="AZ236" s="160"/>
      <c r="BA236" s="160"/>
      <c r="BB236" s="160"/>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IF([5]回答表!AA46="○","○","")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61" t="str">
        <f>IF([5]回答表!X46="○",[5]回答表!BC378,IF([5]回答表!AA46="○",[5]回答表!BC392,""))</f>
        <v/>
      </c>
      <c r="AR237" s="150"/>
      <c r="AS237" s="150"/>
      <c r="AT237" s="150"/>
      <c r="AU237" s="149"/>
      <c r="AV237" s="149"/>
      <c r="AW237" s="149"/>
      <c r="AX237" s="149"/>
      <c r="AY237" s="160"/>
      <c r="AZ237" s="160"/>
      <c r="BA237" s="160"/>
      <c r="BB237" s="160"/>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60"/>
      <c r="AZ238" s="160"/>
      <c r="BA238" s="160"/>
      <c r="BB238" s="160"/>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IF([5]回答表!X46="○",[5]回答表!BC379,IF([5]回答表!AA46="○",[5]回答表!BC393,""))</f>
        <v/>
      </c>
      <c r="AR239" s="150"/>
      <c r="AS239" s="150"/>
      <c r="AT239" s="150"/>
      <c r="AU239" s="149"/>
      <c r="AV239" s="149"/>
      <c r="AW239" s="149"/>
      <c r="AX239" s="149"/>
      <c r="AY239" s="160"/>
      <c r="AZ239" s="160"/>
      <c r="BA239" s="160"/>
      <c r="BB239" s="160"/>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60"/>
      <c r="AZ240" s="160"/>
      <c r="BA240" s="160"/>
      <c r="BB240" s="160"/>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IF([5]回答表!AD46="○","○","")</f>
        <v/>
      </c>
      <c r="O243" s="98"/>
      <c r="P243" s="98"/>
      <c r="Q243" s="99"/>
      <c r="R243" s="39"/>
      <c r="S243" s="39"/>
      <c r="T243" s="39"/>
      <c r="U243" s="106" t="str">
        <f>IF([5]回答表!AD46="○",[5]回答表!B396,"")</f>
        <v/>
      </c>
      <c r="V243" s="107"/>
      <c r="W243" s="107"/>
      <c r="X243" s="107"/>
      <c r="Y243" s="107"/>
      <c r="Z243" s="107"/>
      <c r="AA243" s="107"/>
      <c r="AB243" s="107"/>
      <c r="AC243" s="107"/>
      <c r="AD243" s="107"/>
      <c r="AE243" s="107"/>
      <c r="AF243" s="107"/>
      <c r="AG243" s="107"/>
      <c r="AH243" s="107"/>
      <c r="AI243" s="107"/>
      <c r="AJ243" s="108"/>
      <c r="AK243" s="56"/>
      <c r="AL243" s="56"/>
      <c r="AM243" s="106" t="str">
        <f>IF([5]回答表!AD46="○",[5]回答表!B402,"")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IF([5]回答表!X47="○","○","")</f>
        <v/>
      </c>
      <c r="O254" s="98"/>
      <c r="P254" s="98"/>
      <c r="Q254" s="99"/>
      <c r="R254" s="39"/>
      <c r="S254" s="39"/>
      <c r="T254" s="39"/>
      <c r="U254" s="106" t="str">
        <f>IF([5]回答表!X47="○",[5]回答表!B414,IF([5]回答表!AA47="○",[5]回答表!B431,""))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IF([5]回答表!X47="○",[5]回答表!B424,IF([5]回答表!AA47="○",[5]回答表!B441,""))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IF([5]回答表!X47="○",[5]回答表!G420,IF([5]回答表!AA47="○",[5]回答表!G437,""))</f>
        <v/>
      </c>
      <c r="AN256" s="119"/>
      <c r="AO256" s="119"/>
      <c r="AP256" s="119"/>
      <c r="AQ256" s="119"/>
      <c r="AR256" s="119"/>
      <c r="AS256" s="119"/>
      <c r="AT256" s="120"/>
      <c r="AU256" s="118" t="str">
        <f>IF([5]回答表!X47="○",[5]回答表!G421,IF([5]回答表!AA47="○",[5]回答表!G438,""))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IF([5]回答表!X47="○",[5]回答表!E424,IF([5]回答表!AA47="○",[5]回答表!E441,""))</f>
        <v/>
      </c>
      <c r="BF257" s="83"/>
      <c r="BG257" s="83"/>
      <c r="BH257" s="83"/>
      <c r="BI257" s="82" t="str">
        <f>IF([5]回答表!X47="○",[5]回答表!E425,IF([5]回答表!AA47="○",[5]回答表!E442,""))</f>
        <v/>
      </c>
      <c r="BJ257" s="83"/>
      <c r="BK257" s="83"/>
      <c r="BL257" s="86"/>
      <c r="BM257" s="82" t="str">
        <f>IF([5]回答表!X47="○",[5]回答表!E426,IF([5]回答表!AA47="○",[5]回答表!E443,""))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IF([5]回答表!AA47="○","○","")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IF([5]回答表!AD47="○","○","")</f>
        <v/>
      </c>
      <c r="O266" s="98"/>
      <c r="P266" s="98"/>
      <c r="Q266" s="99"/>
      <c r="R266" s="39"/>
      <c r="S266" s="39"/>
      <c r="T266" s="39"/>
      <c r="U266" s="106" t="str">
        <f>IF([5]回答表!AD47="○",[5]回答表!B448,"")</f>
        <v/>
      </c>
      <c r="V266" s="107"/>
      <c r="W266" s="107"/>
      <c r="X266" s="107"/>
      <c r="Y266" s="107"/>
      <c r="Z266" s="107"/>
      <c r="AA266" s="107"/>
      <c r="AB266" s="107"/>
      <c r="AC266" s="107"/>
      <c r="AD266" s="107"/>
      <c r="AE266" s="107"/>
      <c r="AF266" s="107"/>
      <c r="AG266" s="107"/>
      <c r="AH266" s="107"/>
      <c r="AI266" s="107"/>
      <c r="AJ266" s="108"/>
      <c r="AK266" s="50"/>
      <c r="AL266" s="50"/>
      <c r="AM266" s="106" t="str">
        <f>IF([5]回答表!AD47="○",[5]回答表!B454,"")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IF([5]回答表!R48="○",[5]回答表!B467,"")</f>
        <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2"/>
  <conditionalFormatting sqref="A29:XFD30 A28:BI28 BR28:XFD28">
    <cfRule type="expression" dxfId="2"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82261-8E79-4086-9F10-A3C896FA095D}">
  <sheetPr>
    <pageSetUpPr fitToPage="1"/>
  </sheetPr>
  <dimension ref="A1:CE298"/>
  <sheetViews>
    <sheetView showZeros="0" topLeftCell="A85" zoomScale="55" zoomScaleNormal="55" workbookViewId="0">
      <selection activeCell="CF142" sqref="CF142"/>
    </sheetView>
  </sheetViews>
  <sheetFormatPr defaultColWidth="2.875" defaultRowHeight="12.6" customHeight="1" x14ac:dyDescent="0.4"/>
  <cols>
    <col min="1" max="70" width="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63" t="s">
        <v>0</v>
      </c>
      <c r="D8" s="264"/>
      <c r="E8" s="264"/>
      <c r="F8" s="264"/>
      <c r="G8" s="264"/>
      <c r="H8" s="264"/>
      <c r="I8" s="264"/>
      <c r="J8" s="264"/>
      <c r="K8" s="264"/>
      <c r="L8" s="264"/>
      <c r="M8" s="264"/>
      <c r="N8" s="264"/>
      <c r="O8" s="264"/>
      <c r="P8" s="264"/>
      <c r="Q8" s="264"/>
      <c r="R8" s="264"/>
      <c r="S8" s="264"/>
      <c r="T8" s="264"/>
      <c r="U8" s="265" t="s">
        <v>1</v>
      </c>
      <c r="V8" s="266"/>
      <c r="W8" s="266"/>
      <c r="X8" s="266"/>
      <c r="Y8" s="266"/>
      <c r="Z8" s="266"/>
      <c r="AA8" s="266"/>
      <c r="AB8" s="266"/>
      <c r="AC8" s="266"/>
      <c r="AD8" s="266"/>
      <c r="AE8" s="266"/>
      <c r="AF8" s="266"/>
      <c r="AG8" s="266"/>
      <c r="AH8" s="266"/>
      <c r="AI8" s="266"/>
      <c r="AJ8" s="266"/>
      <c r="AK8" s="266"/>
      <c r="AL8" s="266"/>
      <c r="AM8" s="266"/>
      <c r="AN8" s="267"/>
      <c r="AO8" s="268" t="s">
        <v>2</v>
      </c>
      <c r="AP8" s="266"/>
      <c r="AQ8" s="266"/>
      <c r="AR8" s="266"/>
      <c r="AS8" s="266"/>
      <c r="AT8" s="266"/>
      <c r="AU8" s="266"/>
      <c r="AV8" s="266"/>
      <c r="AW8" s="266"/>
      <c r="AX8" s="266"/>
      <c r="AY8" s="266"/>
      <c r="AZ8" s="266"/>
      <c r="BA8" s="266"/>
      <c r="BB8" s="266"/>
      <c r="BC8" s="266"/>
      <c r="BD8" s="266"/>
      <c r="BE8" s="267"/>
      <c r="BF8" s="263" t="s">
        <v>3</v>
      </c>
      <c r="BG8" s="269"/>
      <c r="BH8" s="269"/>
      <c r="BI8" s="269"/>
      <c r="BJ8" s="269"/>
      <c r="BK8" s="269"/>
      <c r="BL8" s="269"/>
      <c r="BM8" s="269"/>
      <c r="BN8" s="269"/>
      <c r="BO8" s="269"/>
      <c r="BP8" s="269"/>
      <c r="BQ8" s="8"/>
    </row>
    <row r="9" spans="3:70" ht="15.6" customHeight="1" x14ac:dyDescent="0.4">
      <c r="C9" s="264"/>
      <c r="D9" s="264"/>
      <c r="E9" s="264"/>
      <c r="F9" s="264"/>
      <c r="G9" s="264"/>
      <c r="H9" s="264"/>
      <c r="I9" s="264"/>
      <c r="J9" s="264"/>
      <c r="K9" s="264"/>
      <c r="L9" s="264"/>
      <c r="M9" s="264"/>
      <c r="N9" s="264"/>
      <c r="O9" s="264"/>
      <c r="P9" s="264"/>
      <c r="Q9" s="264"/>
      <c r="R9" s="264"/>
      <c r="S9" s="264"/>
      <c r="T9" s="264"/>
      <c r="U9" s="219"/>
      <c r="V9" s="217"/>
      <c r="W9" s="217"/>
      <c r="X9" s="217"/>
      <c r="Y9" s="217"/>
      <c r="Z9" s="217"/>
      <c r="AA9" s="217"/>
      <c r="AB9" s="217"/>
      <c r="AC9" s="217"/>
      <c r="AD9" s="217"/>
      <c r="AE9" s="217"/>
      <c r="AF9" s="217"/>
      <c r="AG9" s="217"/>
      <c r="AH9" s="217"/>
      <c r="AI9" s="217"/>
      <c r="AJ9" s="217"/>
      <c r="AK9" s="217"/>
      <c r="AL9" s="217"/>
      <c r="AM9" s="217"/>
      <c r="AN9" s="218"/>
      <c r="AO9" s="219"/>
      <c r="AP9" s="217"/>
      <c r="AQ9" s="217"/>
      <c r="AR9" s="217"/>
      <c r="AS9" s="217"/>
      <c r="AT9" s="217"/>
      <c r="AU9" s="217"/>
      <c r="AV9" s="217"/>
      <c r="AW9" s="217"/>
      <c r="AX9" s="217"/>
      <c r="AY9" s="217"/>
      <c r="AZ9" s="217"/>
      <c r="BA9" s="217"/>
      <c r="BB9" s="217"/>
      <c r="BC9" s="217"/>
      <c r="BD9" s="217"/>
      <c r="BE9" s="218"/>
      <c r="BF9" s="269"/>
      <c r="BG9" s="269"/>
      <c r="BH9" s="269"/>
      <c r="BI9" s="269"/>
      <c r="BJ9" s="269"/>
      <c r="BK9" s="269"/>
      <c r="BL9" s="269"/>
      <c r="BM9" s="269"/>
      <c r="BN9" s="269"/>
      <c r="BO9" s="269"/>
      <c r="BP9" s="269"/>
      <c r="BQ9" s="8"/>
    </row>
    <row r="10" spans="3:70" ht="15.6" customHeight="1" x14ac:dyDescent="0.4">
      <c r="C10" s="264"/>
      <c r="D10" s="264"/>
      <c r="E10" s="264"/>
      <c r="F10" s="264"/>
      <c r="G10" s="264"/>
      <c r="H10" s="264"/>
      <c r="I10" s="264"/>
      <c r="J10" s="264"/>
      <c r="K10" s="264"/>
      <c r="L10" s="264"/>
      <c r="M10" s="264"/>
      <c r="N10" s="264"/>
      <c r="O10" s="264"/>
      <c r="P10" s="264"/>
      <c r="Q10" s="264"/>
      <c r="R10" s="264"/>
      <c r="S10" s="264"/>
      <c r="T10" s="264"/>
      <c r="U10" s="220"/>
      <c r="V10" s="221"/>
      <c r="W10" s="221"/>
      <c r="X10" s="221"/>
      <c r="Y10" s="221"/>
      <c r="Z10" s="221"/>
      <c r="AA10" s="221"/>
      <c r="AB10" s="221"/>
      <c r="AC10" s="221"/>
      <c r="AD10" s="221"/>
      <c r="AE10" s="221"/>
      <c r="AF10" s="221"/>
      <c r="AG10" s="221"/>
      <c r="AH10" s="221"/>
      <c r="AI10" s="221"/>
      <c r="AJ10" s="221"/>
      <c r="AK10" s="221"/>
      <c r="AL10" s="221"/>
      <c r="AM10" s="221"/>
      <c r="AN10" s="222"/>
      <c r="AO10" s="220"/>
      <c r="AP10" s="221"/>
      <c r="AQ10" s="221"/>
      <c r="AR10" s="221"/>
      <c r="AS10" s="221"/>
      <c r="AT10" s="221"/>
      <c r="AU10" s="221"/>
      <c r="AV10" s="221"/>
      <c r="AW10" s="221"/>
      <c r="AX10" s="221"/>
      <c r="AY10" s="221"/>
      <c r="AZ10" s="221"/>
      <c r="BA10" s="221"/>
      <c r="BB10" s="221"/>
      <c r="BC10" s="221"/>
      <c r="BD10" s="221"/>
      <c r="BE10" s="222"/>
      <c r="BF10" s="269"/>
      <c r="BG10" s="269"/>
      <c r="BH10" s="269"/>
      <c r="BI10" s="269"/>
      <c r="BJ10" s="269"/>
      <c r="BK10" s="269"/>
      <c r="BL10" s="269"/>
      <c r="BM10" s="269"/>
      <c r="BN10" s="269"/>
      <c r="BO10" s="269"/>
      <c r="BP10" s="269"/>
      <c r="BQ10" s="8"/>
    </row>
    <row r="11" spans="3:70" ht="15.6" customHeight="1" x14ac:dyDescent="0.4">
      <c r="C11" s="270" t="str">
        <f>IF(COUNTIF([8]回答表!K15,"*")&gt;0,[8]回答表!K15,"")</f>
        <v>大館市</v>
      </c>
      <c r="D11" s="264"/>
      <c r="E11" s="264"/>
      <c r="F11" s="264"/>
      <c r="G11" s="264"/>
      <c r="H11" s="264"/>
      <c r="I11" s="264"/>
      <c r="J11" s="264"/>
      <c r="K11" s="264"/>
      <c r="L11" s="264"/>
      <c r="M11" s="264"/>
      <c r="N11" s="264"/>
      <c r="O11" s="264"/>
      <c r="P11" s="264"/>
      <c r="Q11" s="264"/>
      <c r="R11" s="264"/>
      <c r="S11" s="264"/>
      <c r="T11" s="264"/>
      <c r="U11" s="271" t="str">
        <f>IF(COUNTIF([8]回答表!F17,"*")&gt;0,[8]回答表!F17,"")</f>
        <v>簡易水道事業</v>
      </c>
      <c r="V11" s="272"/>
      <c r="W11" s="272"/>
      <c r="X11" s="272"/>
      <c r="Y11" s="272"/>
      <c r="Z11" s="272"/>
      <c r="AA11" s="272"/>
      <c r="AB11" s="272"/>
      <c r="AC11" s="272"/>
      <c r="AD11" s="272"/>
      <c r="AE11" s="272"/>
      <c r="AF11" s="266"/>
      <c r="AG11" s="266"/>
      <c r="AH11" s="266"/>
      <c r="AI11" s="266"/>
      <c r="AJ11" s="266"/>
      <c r="AK11" s="266"/>
      <c r="AL11" s="266"/>
      <c r="AM11" s="266"/>
      <c r="AN11" s="267"/>
      <c r="AO11" s="277" t="str">
        <f>IF(COUNTIF([8]回答表!W17,"*")&gt;0,[8]回答表!W17,"")</f>
        <v>―</v>
      </c>
      <c r="AP11" s="266"/>
      <c r="AQ11" s="266"/>
      <c r="AR11" s="266"/>
      <c r="AS11" s="266"/>
      <c r="AT11" s="266"/>
      <c r="AU11" s="266"/>
      <c r="AV11" s="266"/>
      <c r="AW11" s="266"/>
      <c r="AX11" s="266"/>
      <c r="AY11" s="266"/>
      <c r="AZ11" s="266"/>
      <c r="BA11" s="266"/>
      <c r="BB11" s="266"/>
      <c r="BC11" s="266"/>
      <c r="BD11" s="266"/>
      <c r="BE11" s="267"/>
      <c r="BF11" s="270" t="str">
        <f>IF(COUNTIF([8]回答表!F19,"*")&gt;0,[8]回答表!F19,"")</f>
        <v>ー</v>
      </c>
      <c r="BG11" s="269"/>
      <c r="BH11" s="269"/>
      <c r="BI11" s="269"/>
      <c r="BJ11" s="269"/>
      <c r="BK11" s="269"/>
      <c r="BL11" s="269"/>
      <c r="BM11" s="269"/>
      <c r="BN11" s="269"/>
      <c r="BO11" s="269"/>
      <c r="BP11" s="269"/>
      <c r="BQ11" s="6"/>
    </row>
    <row r="12" spans="3:70" ht="15.6" customHeight="1" x14ac:dyDescent="0.4">
      <c r="C12" s="264"/>
      <c r="D12" s="264"/>
      <c r="E12" s="264"/>
      <c r="F12" s="264"/>
      <c r="G12" s="264"/>
      <c r="H12" s="264"/>
      <c r="I12" s="264"/>
      <c r="J12" s="264"/>
      <c r="K12" s="264"/>
      <c r="L12" s="264"/>
      <c r="M12" s="264"/>
      <c r="N12" s="264"/>
      <c r="O12" s="264"/>
      <c r="P12" s="264"/>
      <c r="Q12" s="264"/>
      <c r="R12" s="264"/>
      <c r="S12" s="264"/>
      <c r="T12" s="264"/>
      <c r="U12" s="273"/>
      <c r="V12" s="274"/>
      <c r="W12" s="274"/>
      <c r="X12" s="274"/>
      <c r="Y12" s="274"/>
      <c r="Z12" s="274"/>
      <c r="AA12" s="274"/>
      <c r="AB12" s="274"/>
      <c r="AC12" s="274"/>
      <c r="AD12" s="274"/>
      <c r="AE12" s="274"/>
      <c r="AF12" s="217"/>
      <c r="AG12" s="217"/>
      <c r="AH12" s="217"/>
      <c r="AI12" s="217"/>
      <c r="AJ12" s="217"/>
      <c r="AK12" s="217"/>
      <c r="AL12" s="217"/>
      <c r="AM12" s="217"/>
      <c r="AN12" s="218"/>
      <c r="AO12" s="219"/>
      <c r="AP12" s="217"/>
      <c r="AQ12" s="217"/>
      <c r="AR12" s="217"/>
      <c r="AS12" s="217"/>
      <c r="AT12" s="217"/>
      <c r="AU12" s="217"/>
      <c r="AV12" s="217"/>
      <c r="AW12" s="217"/>
      <c r="AX12" s="217"/>
      <c r="AY12" s="217"/>
      <c r="AZ12" s="217"/>
      <c r="BA12" s="217"/>
      <c r="BB12" s="217"/>
      <c r="BC12" s="217"/>
      <c r="BD12" s="217"/>
      <c r="BE12" s="218"/>
      <c r="BF12" s="269"/>
      <c r="BG12" s="269"/>
      <c r="BH12" s="269"/>
      <c r="BI12" s="269"/>
      <c r="BJ12" s="269"/>
      <c r="BK12" s="269"/>
      <c r="BL12" s="269"/>
      <c r="BM12" s="269"/>
      <c r="BN12" s="269"/>
      <c r="BO12" s="269"/>
      <c r="BP12" s="269"/>
      <c r="BQ12" s="6"/>
    </row>
    <row r="13" spans="3:70" ht="15.6" customHeight="1" x14ac:dyDescent="0.4">
      <c r="C13" s="264"/>
      <c r="D13" s="264"/>
      <c r="E13" s="264"/>
      <c r="F13" s="264"/>
      <c r="G13" s="264"/>
      <c r="H13" s="264"/>
      <c r="I13" s="264"/>
      <c r="J13" s="264"/>
      <c r="K13" s="264"/>
      <c r="L13" s="264"/>
      <c r="M13" s="264"/>
      <c r="N13" s="264"/>
      <c r="O13" s="264"/>
      <c r="P13" s="264"/>
      <c r="Q13" s="264"/>
      <c r="R13" s="264"/>
      <c r="S13" s="264"/>
      <c r="T13" s="264"/>
      <c r="U13" s="275"/>
      <c r="V13" s="276"/>
      <c r="W13" s="276"/>
      <c r="X13" s="276"/>
      <c r="Y13" s="276"/>
      <c r="Z13" s="276"/>
      <c r="AA13" s="276"/>
      <c r="AB13" s="276"/>
      <c r="AC13" s="276"/>
      <c r="AD13" s="276"/>
      <c r="AE13" s="276"/>
      <c r="AF13" s="221"/>
      <c r="AG13" s="221"/>
      <c r="AH13" s="221"/>
      <c r="AI13" s="221"/>
      <c r="AJ13" s="221"/>
      <c r="AK13" s="221"/>
      <c r="AL13" s="221"/>
      <c r="AM13" s="221"/>
      <c r="AN13" s="222"/>
      <c r="AO13" s="220"/>
      <c r="AP13" s="221"/>
      <c r="AQ13" s="221"/>
      <c r="AR13" s="221"/>
      <c r="AS13" s="221"/>
      <c r="AT13" s="221"/>
      <c r="AU13" s="221"/>
      <c r="AV13" s="221"/>
      <c r="AW13" s="221"/>
      <c r="AX13" s="221"/>
      <c r="AY13" s="221"/>
      <c r="AZ13" s="221"/>
      <c r="BA13" s="221"/>
      <c r="BB13" s="221"/>
      <c r="BC13" s="221"/>
      <c r="BD13" s="221"/>
      <c r="BE13" s="222"/>
      <c r="BF13" s="269"/>
      <c r="BG13" s="269"/>
      <c r="BH13" s="269"/>
      <c r="BI13" s="269"/>
      <c r="BJ13" s="269"/>
      <c r="BK13" s="269"/>
      <c r="BL13" s="269"/>
      <c r="BM13" s="269"/>
      <c r="BN13" s="269"/>
      <c r="BO13" s="269"/>
      <c r="BP13" s="269"/>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30" t="s">
        <v>4</v>
      </c>
      <c r="E18" s="231"/>
      <c r="F18" s="231"/>
      <c r="G18" s="231"/>
      <c r="H18" s="231"/>
      <c r="I18" s="231"/>
      <c r="J18" s="231"/>
      <c r="K18" s="231"/>
      <c r="L18" s="231"/>
      <c r="M18" s="231"/>
      <c r="N18" s="231"/>
      <c r="O18" s="231"/>
      <c r="P18" s="231"/>
      <c r="Q18" s="231"/>
      <c r="R18" s="231"/>
      <c r="S18" s="231"/>
      <c r="T18" s="231"/>
      <c r="U18" s="231"/>
      <c r="V18" s="231"/>
      <c r="W18" s="231"/>
      <c r="X18" s="231"/>
      <c r="Y18" s="231"/>
      <c r="Z18" s="231"/>
      <c r="AA18" s="231"/>
      <c r="AB18" s="231"/>
      <c r="AC18" s="231"/>
      <c r="AD18" s="231"/>
      <c r="AE18" s="231"/>
      <c r="AF18" s="231"/>
      <c r="AG18" s="231"/>
      <c r="AH18" s="231"/>
      <c r="AI18" s="231"/>
      <c r="AJ18" s="231"/>
      <c r="AK18" s="231"/>
      <c r="AL18" s="231"/>
      <c r="AM18" s="231"/>
      <c r="AN18" s="231"/>
      <c r="AO18" s="231"/>
      <c r="AP18" s="231"/>
      <c r="AQ18" s="231"/>
      <c r="AR18" s="231"/>
      <c r="AS18" s="231"/>
      <c r="AT18" s="231"/>
      <c r="AU18" s="231"/>
      <c r="AV18" s="231"/>
      <c r="AW18" s="231"/>
      <c r="AX18" s="231"/>
      <c r="AY18" s="231"/>
      <c r="AZ18" s="232"/>
      <c r="BA18" s="15"/>
      <c r="BB18" s="15"/>
      <c r="BC18" s="15"/>
      <c r="BD18" s="15"/>
      <c r="BE18" s="15"/>
      <c r="BF18" s="15"/>
      <c r="BG18" s="15"/>
      <c r="BH18" s="15"/>
      <c r="BI18" s="15"/>
      <c r="BJ18" s="15"/>
      <c r="BK18" s="16"/>
      <c r="BR18" s="13"/>
    </row>
    <row r="19" spans="3:83" ht="15.6" customHeight="1" x14ac:dyDescent="0.4">
      <c r="C19" s="14"/>
      <c r="D19" s="233"/>
      <c r="E19" s="234"/>
      <c r="F19" s="234"/>
      <c r="G19" s="234"/>
      <c r="H19" s="234"/>
      <c r="I19" s="234"/>
      <c r="J19" s="234"/>
      <c r="K19" s="234"/>
      <c r="L19" s="234"/>
      <c r="M19" s="234"/>
      <c r="N19" s="234"/>
      <c r="O19" s="234"/>
      <c r="P19" s="234"/>
      <c r="Q19" s="234"/>
      <c r="R19" s="234"/>
      <c r="S19" s="234"/>
      <c r="T19" s="234"/>
      <c r="U19" s="234"/>
      <c r="V19" s="234"/>
      <c r="W19" s="234"/>
      <c r="X19" s="234"/>
      <c r="Y19" s="234"/>
      <c r="Z19" s="234"/>
      <c r="AA19" s="234"/>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5"/>
      <c r="BA19" s="15"/>
      <c r="BB19" s="15"/>
      <c r="BC19" s="15"/>
      <c r="BD19" s="15"/>
      <c r="BE19" s="15"/>
      <c r="BF19" s="15"/>
      <c r="BG19" s="15"/>
      <c r="BH19" s="15"/>
      <c r="BI19" s="15"/>
      <c r="BJ19" s="15"/>
      <c r="BK19" s="16"/>
      <c r="BR19" s="13"/>
    </row>
    <row r="20" spans="3:83" ht="13.35" customHeight="1" x14ac:dyDescent="0.4">
      <c r="C20" s="14"/>
      <c r="D20" s="236" t="s">
        <v>5</v>
      </c>
      <c r="E20" s="237"/>
      <c r="F20" s="237"/>
      <c r="G20" s="237"/>
      <c r="H20" s="237"/>
      <c r="I20" s="237"/>
      <c r="J20" s="238"/>
      <c r="K20" s="236" t="s">
        <v>6</v>
      </c>
      <c r="L20" s="237"/>
      <c r="M20" s="237"/>
      <c r="N20" s="237"/>
      <c r="O20" s="237"/>
      <c r="P20" s="237"/>
      <c r="Q20" s="238"/>
      <c r="R20" s="236" t="s">
        <v>7</v>
      </c>
      <c r="S20" s="237"/>
      <c r="T20" s="237"/>
      <c r="U20" s="237"/>
      <c r="V20" s="237"/>
      <c r="W20" s="237"/>
      <c r="X20" s="238"/>
      <c r="Y20" s="245" t="s">
        <v>8</v>
      </c>
      <c r="Z20" s="246"/>
      <c r="AA20" s="246"/>
      <c r="AB20" s="246"/>
      <c r="AC20" s="246"/>
      <c r="AD20" s="246"/>
      <c r="AE20" s="246"/>
      <c r="AF20" s="246"/>
      <c r="AG20" s="246"/>
      <c r="AH20" s="246"/>
      <c r="AI20" s="246"/>
      <c r="AJ20" s="246"/>
      <c r="AK20" s="246"/>
      <c r="AL20" s="246"/>
      <c r="AM20" s="246"/>
      <c r="AN20" s="246"/>
      <c r="AO20" s="246"/>
      <c r="AP20" s="246"/>
      <c r="AQ20" s="246"/>
      <c r="AR20" s="246"/>
      <c r="AS20" s="246"/>
      <c r="AT20" s="246"/>
      <c r="AU20" s="246"/>
      <c r="AV20" s="246"/>
      <c r="AW20" s="246"/>
      <c r="AX20" s="246"/>
      <c r="AY20" s="246"/>
      <c r="AZ20" s="247"/>
      <c r="BA20" s="17"/>
      <c r="BB20" s="254" t="s">
        <v>9</v>
      </c>
      <c r="BC20" s="255"/>
      <c r="BD20" s="255"/>
      <c r="BE20" s="255"/>
      <c r="BF20" s="255"/>
      <c r="BG20" s="255"/>
      <c r="BH20" s="255"/>
      <c r="BI20" s="223"/>
      <c r="BJ20" s="224"/>
      <c r="BK20" s="16"/>
      <c r="BR20" s="18"/>
    </row>
    <row r="21" spans="3:83" ht="13.35" customHeight="1" x14ac:dyDescent="0.4">
      <c r="C21" s="14"/>
      <c r="D21" s="239"/>
      <c r="E21" s="240"/>
      <c r="F21" s="240"/>
      <c r="G21" s="240"/>
      <c r="H21" s="240"/>
      <c r="I21" s="240"/>
      <c r="J21" s="241"/>
      <c r="K21" s="239"/>
      <c r="L21" s="240"/>
      <c r="M21" s="240"/>
      <c r="N21" s="240"/>
      <c r="O21" s="240"/>
      <c r="P21" s="240"/>
      <c r="Q21" s="241"/>
      <c r="R21" s="239"/>
      <c r="S21" s="240"/>
      <c r="T21" s="240"/>
      <c r="U21" s="240"/>
      <c r="V21" s="240"/>
      <c r="W21" s="240"/>
      <c r="X21" s="241"/>
      <c r="Y21" s="248"/>
      <c r="Z21" s="249"/>
      <c r="AA21" s="249"/>
      <c r="AB21" s="249"/>
      <c r="AC21" s="249"/>
      <c r="AD21" s="249"/>
      <c r="AE21" s="249"/>
      <c r="AF21" s="249"/>
      <c r="AG21" s="249"/>
      <c r="AH21" s="249"/>
      <c r="AI21" s="249"/>
      <c r="AJ21" s="249"/>
      <c r="AK21" s="249"/>
      <c r="AL21" s="249"/>
      <c r="AM21" s="249"/>
      <c r="AN21" s="249"/>
      <c r="AO21" s="249"/>
      <c r="AP21" s="249"/>
      <c r="AQ21" s="249"/>
      <c r="AR21" s="249"/>
      <c r="AS21" s="249"/>
      <c r="AT21" s="249"/>
      <c r="AU21" s="249"/>
      <c r="AV21" s="249"/>
      <c r="AW21" s="249"/>
      <c r="AX21" s="249"/>
      <c r="AY21" s="249"/>
      <c r="AZ21" s="250"/>
      <c r="BA21" s="17"/>
      <c r="BB21" s="256"/>
      <c r="BC21" s="257"/>
      <c r="BD21" s="257"/>
      <c r="BE21" s="257"/>
      <c r="BF21" s="257"/>
      <c r="BG21" s="257"/>
      <c r="BH21" s="257"/>
      <c r="BI21" s="225"/>
      <c r="BJ21" s="226"/>
      <c r="BK21" s="16"/>
      <c r="BR21" s="18"/>
    </row>
    <row r="22" spans="3:83" ht="13.35" customHeight="1" x14ac:dyDescent="0.4">
      <c r="C22" s="14"/>
      <c r="D22" s="239"/>
      <c r="E22" s="240"/>
      <c r="F22" s="240"/>
      <c r="G22" s="240"/>
      <c r="H22" s="240"/>
      <c r="I22" s="240"/>
      <c r="J22" s="241"/>
      <c r="K22" s="239"/>
      <c r="L22" s="240"/>
      <c r="M22" s="240"/>
      <c r="N22" s="240"/>
      <c r="O22" s="240"/>
      <c r="P22" s="240"/>
      <c r="Q22" s="241"/>
      <c r="R22" s="239"/>
      <c r="S22" s="240"/>
      <c r="T22" s="240"/>
      <c r="U22" s="240"/>
      <c r="V22" s="240"/>
      <c r="W22" s="240"/>
      <c r="X22" s="241"/>
      <c r="Y22" s="251"/>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3"/>
      <c r="BA22" s="19"/>
      <c r="BB22" s="256"/>
      <c r="BC22" s="257"/>
      <c r="BD22" s="257"/>
      <c r="BE22" s="257"/>
      <c r="BF22" s="257"/>
      <c r="BG22" s="257"/>
      <c r="BH22" s="257"/>
      <c r="BI22" s="225"/>
      <c r="BJ22" s="226"/>
      <c r="BK22" s="16"/>
      <c r="BR22" s="18"/>
    </row>
    <row r="23" spans="3:83" ht="31.35" customHeight="1" x14ac:dyDescent="0.4">
      <c r="C23" s="14"/>
      <c r="D23" s="242"/>
      <c r="E23" s="243"/>
      <c r="F23" s="243"/>
      <c r="G23" s="243"/>
      <c r="H23" s="243"/>
      <c r="I23" s="243"/>
      <c r="J23" s="244"/>
      <c r="K23" s="242"/>
      <c r="L23" s="243"/>
      <c r="M23" s="243"/>
      <c r="N23" s="243"/>
      <c r="O23" s="243"/>
      <c r="P23" s="243"/>
      <c r="Q23" s="244"/>
      <c r="R23" s="242"/>
      <c r="S23" s="243"/>
      <c r="T23" s="243"/>
      <c r="U23" s="243"/>
      <c r="V23" s="243"/>
      <c r="W23" s="243"/>
      <c r="X23" s="244"/>
      <c r="Y23" s="260" t="s">
        <v>10</v>
      </c>
      <c r="Z23" s="261"/>
      <c r="AA23" s="261"/>
      <c r="AB23" s="261"/>
      <c r="AC23" s="261"/>
      <c r="AD23" s="261"/>
      <c r="AE23" s="262"/>
      <c r="AF23" s="260" t="s">
        <v>11</v>
      </c>
      <c r="AG23" s="261"/>
      <c r="AH23" s="261"/>
      <c r="AI23" s="261"/>
      <c r="AJ23" s="261"/>
      <c r="AK23" s="261"/>
      <c r="AL23" s="262"/>
      <c r="AM23" s="260" t="s">
        <v>12</v>
      </c>
      <c r="AN23" s="261"/>
      <c r="AO23" s="261"/>
      <c r="AP23" s="261"/>
      <c r="AQ23" s="261"/>
      <c r="AR23" s="261"/>
      <c r="AS23" s="262"/>
      <c r="AT23" s="260" t="s">
        <v>13</v>
      </c>
      <c r="AU23" s="261"/>
      <c r="AV23" s="261"/>
      <c r="AW23" s="261"/>
      <c r="AX23" s="261"/>
      <c r="AY23" s="261"/>
      <c r="AZ23" s="262"/>
      <c r="BA23" s="19"/>
      <c r="BB23" s="258"/>
      <c r="BC23" s="259"/>
      <c r="BD23" s="259"/>
      <c r="BE23" s="259"/>
      <c r="BF23" s="259"/>
      <c r="BG23" s="259"/>
      <c r="BH23" s="259"/>
      <c r="BI23" s="227"/>
      <c r="BJ23" s="228"/>
      <c r="BK23" s="16"/>
      <c r="BR23" s="18"/>
    </row>
    <row r="24" spans="3:83" ht="15.6" customHeight="1" x14ac:dyDescent="0.4">
      <c r="C24" s="14"/>
      <c r="D24" s="121" t="str">
        <f>IF([8]回答表!R41="○","○","")</f>
        <v>○</v>
      </c>
      <c r="E24" s="122"/>
      <c r="F24" s="122"/>
      <c r="G24" s="122"/>
      <c r="H24" s="122"/>
      <c r="I24" s="122"/>
      <c r="J24" s="123"/>
      <c r="K24" s="121" t="str">
        <f>IF([8]回答表!R42="○","○","")</f>
        <v/>
      </c>
      <c r="L24" s="122"/>
      <c r="M24" s="122"/>
      <c r="N24" s="122"/>
      <c r="O24" s="122"/>
      <c r="P24" s="122"/>
      <c r="Q24" s="123"/>
      <c r="R24" s="121" t="str">
        <f>IF([8]回答表!R43="○","○","")</f>
        <v/>
      </c>
      <c r="S24" s="122"/>
      <c r="T24" s="122"/>
      <c r="U24" s="122"/>
      <c r="V24" s="122"/>
      <c r="W24" s="122"/>
      <c r="X24" s="123"/>
      <c r="Y24" s="121" t="str">
        <f>IF([8]回答表!R44="○","○","")</f>
        <v/>
      </c>
      <c r="Z24" s="122"/>
      <c r="AA24" s="122"/>
      <c r="AB24" s="122"/>
      <c r="AC24" s="122"/>
      <c r="AD24" s="122"/>
      <c r="AE24" s="123"/>
      <c r="AF24" s="121" t="str">
        <f>IF([8]回答表!R45="○","○","")</f>
        <v/>
      </c>
      <c r="AG24" s="122"/>
      <c r="AH24" s="122"/>
      <c r="AI24" s="122"/>
      <c r="AJ24" s="122"/>
      <c r="AK24" s="122"/>
      <c r="AL24" s="123"/>
      <c r="AM24" s="121" t="str">
        <f>IF([8]回答表!R46="○","○","")</f>
        <v/>
      </c>
      <c r="AN24" s="122"/>
      <c r="AO24" s="122"/>
      <c r="AP24" s="122"/>
      <c r="AQ24" s="122"/>
      <c r="AR24" s="122"/>
      <c r="AS24" s="123"/>
      <c r="AT24" s="121" t="str">
        <f>IF([8]回答表!R47="○","○","")</f>
        <v/>
      </c>
      <c r="AU24" s="122"/>
      <c r="AV24" s="122"/>
      <c r="AW24" s="122"/>
      <c r="AX24" s="122"/>
      <c r="AY24" s="122"/>
      <c r="AZ24" s="123"/>
      <c r="BA24" s="19"/>
      <c r="BB24" s="118" t="str">
        <f>IF([8]回答表!R48="○","○","")</f>
        <v/>
      </c>
      <c r="BC24" s="119"/>
      <c r="BD24" s="119"/>
      <c r="BE24" s="119"/>
      <c r="BF24" s="119"/>
      <c r="BG24" s="119"/>
      <c r="BH24" s="119"/>
      <c r="BI24" s="223"/>
      <c r="BJ24" s="224"/>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25"/>
      <c r="BJ25" s="226"/>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27"/>
      <c r="BJ26" s="228"/>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IF([8]回答表!X41="○","○","")</f>
        <v>○</v>
      </c>
      <c r="O36" s="98"/>
      <c r="P36" s="98"/>
      <c r="Q36" s="99"/>
      <c r="R36" s="39"/>
      <c r="S36" s="39"/>
      <c r="T36" s="39"/>
      <c r="U36" s="106" t="str">
        <f>IF([8]回答表!X41="○",[8]回答表!B56,IF([8]回答表!AA41="○",[8]回答表!B76,""))</f>
        <v>上水道と簡易水道に分かれていたため契約や決算など事務処理が繁雑であったが、統合したことにより迅速に処理できるようになった。</v>
      </c>
      <c r="V36" s="107"/>
      <c r="W36" s="107"/>
      <c r="X36" s="107"/>
      <c r="Y36" s="107"/>
      <c r="Z36" s="107"/>
      <c r="AA36" s="107"/>
      <c r="AB36" s="107"/>
      <c r="AC36" s="107"/>
      <c r="AD36" s="107"/>
      <c r="AE36" s="107"/>
      <c r="AF36" s="107"/>
      <c r="AG36" s="107"/>
      <c r="AH36" s="107"/>
      <c r="AI36" s="107"/>
      <c r="AJ36" s="108"/>
      <c r="AK36" s="50"/>
      <c r="AL36" s="50"/>
      <c r="AM36" s="229" t="s">
        <v>19</v>
      </c>
      <c r="AN36" s="229"/>
      <c r="AO36" s="229"/>
      <c r="AP36" s="229"/>
      <c r="AQ36" s="229"/>
      <c r="AR36" s="229"/>
      <c r="AS36" s="229"/>
      <c r="AT36" s="229"/>
      <c r="AU36" s="229" t="s">
        <v>20</v>
      </c>
      <c r="AV36" s="229"/>
      <c r="AW36" s="229"/>
      <c r="AX36" s="229"/>
      <c r="AY36" s="229"/>
      <c r="AZ36" s="229"/>
      <c r="BA36" s="229"/>
      <c r="BB36" s="229"/>
      <c r="BC36" s="40"/>
      <c r="BD36" s="35"/>
      <c r="BE36" s="115" t="str">
        <f>IF([8]回答表!X41="○",[8]回答表!S62,IF([8]回答表!AA41="○",[8]回答表!S82,""))</f>
        <v>平成</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29"/>
      <c r="AN37" s="229"/>
      <c r="AO37" s="229"/>
      <c r="AP37" s="229"/>
      <c r="AQ37" s="229"/>
      <c r="AR37" s="229"/>
      <c r="AS37" s="229"/>
      <c r="AT37" s="229"/>
      <c r="AU37" s="229"/>
      <c r="AV37" s="229"/>
      <c r="AW37" s="229"/>
      <c r="AX37" s="229"/>
      <c r="AY37" s="229"/>
      <c r="AZ37" s="229"/>
      <c r="BA37" s="229"/>
      <c r="BB37" s="229"/>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f>IF([8]回答表!X41="○",[8]回答表!G62,IF([8]回答表!AA41="○",[8]回答表!G82,""))</f>
        <v>0</v>
      </c>
      <c r="AN38" s="119"/>
      <c r="AO38" s="119"/>
      <c r="AP38" s="119"/>
      <c r="AQ38" s="119"/>
      <c r="AR38" s="119"/>
      <c r="AS38" s="119"/>
      <c r="AT38" s="120"/>
      <c r="AU38" s="118">
        <f>IF([8]回答表!X41="○",[8]回答表!G63,IF([8]回答表!AA41="○",[8]回答表!G83,""))</f>
        <v>0</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f>IF([8]回答表!X41="○",[8]回答表!V62,IF([8]回答表!AA41="○",[8]回答表!V82,""))</f>
        <v>29</v>
      </c>
      <c r="BF39" s="217"/>
      <c r="BG39" s="217"/>
      <c r="BH39" s="218"/>
      <c r="BI39" s="82">
        <f>IF([8]回答表!X41="○",[8]回答表!V63,IF([8]回答表!AA41="○",[8]回答表!V83,""))</f>
        <v>3</v>
      </c>
      <c r="BJ39" s="217"/>
      <c r="BK39" s="217"/>
      <c r="BL39" s="218"/>
      <c r="BM39" s="82">
        <f>IF([8]回答表!X41="○",[8]回答表!V64,IF([8]回答表!AA41="○",[8]回答表!V84,""))</f>
        <v>31</v>
      </c>
      <c r="BN39" s="217"/>
      <c r="BO39" s="217"/>
      <c r="BP39" s="218"/>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19"/>
      <c r="BF40" s="217"/>
      <c r="BG40" s="217"/>
      <c r="BH40" s="218"/>
      <c r="BI40" s="219"/>
      <c r="BJ40" s="217"/>
      <c r="BK40" s="217"/>
      <c r="BL40" s="218"/>
      <c r="BM40" s="219"/>
      <c r="BN40" s="217"/>
      <c r="BO40" s="217"/>
      <c r="BP40" s="218"/>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19"/>
      <c r="BF41" s="217"/>
      <c r="BG41" s="217"/>
      <c r="BH41" s="218"/>
      <c r="BI41" s="219"/>
      <c r="BJ41" s="217"/>
      <c r="BK41" s="217"/>
      <c r="BL41" s="218"/>
      <c r="BM41" s="219"/>
      <c r="BN41" s="217"/>
      <c r="BO41" s="217"/>
      <c r="BP41" s="218"/>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215">
        <f>IF([8]回答表!X41="○",[8]回答表!O68,IF([8]回答表!AA41="○",[8]回答表!O88,""))</f>
        <v>0</v>
      </c>
      <c r="AN42" s="216"/>
      <c r="AO42" s="213" t="s">
        <v>21</v>
      </c>
      <c r="AP42" s="213"/>
      <c r="AQ42" s="213"/>
      <c r="AR42" s="213"/>
      <c r="AS42" s="213"/>
      <c r="AT42" s="213"/>
      <c r="AU42" s="213"/>
      <c r="AV42" s="213"/>
      <c r="AW42" s="213"/>
      <c r="AX42" s="213"/>
      <c r="AY42" s="213"/>
      <c r="AZ42" s="213"/>
      <c r="BA42" s="213"/>
      <c r="BB42" s="214"/>
      <c r="BC42" s="40"/>
      <c r="BD42" s="40"/>
      <c r="BE42" s="219"/>
      <c r="BF42" s="217"/>
      <c r="BG42" s="217"/>
      <c r="BH42" s="218"/>
      <c r="BI42" s="219"/>
      <c r="BJ42" s="217"/>
      <c r="BK42" s="217"/>
      <c r="BL42" s="218"/>
      <c r="BM42" s="219"/>
      <c r="BN42" s="217"/>
      <c r="BO42" s="217"/>
      <c r="BP42" s="218"/>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215">
        <f>IF([8]回答表!X41="○",[8]回答表!O69,IF([8]回答表!AA41="○",[8]回答表!O89,""))</f>
        <v>0</v>
      </c>
      <c r="AN43" s="216"/>
      <c r="AO43" s="213" t="s">
        <v>22</v>
      </c>
      <c r="AP43" s="213"/>
      <c r="AQ43" s="213"/>
      <c r="AR43" s="213"/>
      <c r="AS43" s="213"/>
      <c r="AT43" s="213"/>
      <c r="AU43" s="213"/>
      <c r="AV43" s="213"/>
      <c r="AW43" s="213"/>
      <c r="AX43" s="213"/>
      <c r="AY43" s="213"/>
      <c r="AZ43" s="213"/>
      <c r="BA43" s="213"/>
      <c r="BB43" s="214"/>
      <c r="BC43" s="40"/>
      <c r="BD43" s="35"/>
      <c r="BE43" s="82" t="s">
        <v>23</v>
      </c>
      <c r="BF43" s="217"/>
      <c r="BG43" s="217"/>
      <c r="BH43" s="218"/>
      <c r="BI43" s="82" t="s">
        <v>24</v>
      </c>
      <c r="BJ43" s="217"/>
      <c r="BK43" s="217"/>
      <c r="BL43" s="218"/>
      <c r="BM43" s="82" t="s">
        <v>25</v>
      </c>
      <c r="BN43" s="217"/>
      <c r="BO43" s="217"/>
      <c r="BP43" s="218"/>
      <c r="BQ43" s="38"/>
      <c r="BR43" s="25"/>
    </row>
    <row r="44" spans="1:70" ht="15.6" customHeight="1" x14ac:dyDescent="0.4">
      <c r="A44" s="25"/>
      <c r="B44" s="25"/>
      <c r="C44" s="33"/>
      <c r="D44" s="140" t="s">
        <v>26</v>
      </c>
      <c r="E44" s="141"/>
      <c r="F44" s="141"/>
      <c r="G44" s="141"/>
      <c r="H44" s="141"/>
      <c r="I44" s="141"/>
      <c r="J44" s="141"/>
      <c r="K44" s="141"/>
      <c r="L44" s="141"/>
      <c r="M44" s="142"/>
      <c r="N44" s="97" t="str">
        <f>IF([8]回答表!AA41="○","○","")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215">
        <f>IF([8]回答表!X41="○",[8]回答表!O70,IF([8]回答表!AA41="○",[8]回答表!O90,""))</f>
        <v>0</v>
      </c>
      <c r="AN44" s="216"/>
      <c r="AO44" s="213" t="s">
        <v>27</v>
      </c>
      <c r="AP44" s="213"/>
      <c r="AQ44" s="213"/>
      <c r="AR44" s="213"/>
      <c r="AS44" s="213"/>
      <c r="AT44" s="213"/>
      <c r="AU44" s="213"/>
      <c r="AV44" s="213"/>
      <c r="AW44" s="213"/>
      <c r="AX44" s="213"/>
      <c r="AY44" s="213"/>
      <c r="AZ44" s="213"/>
      <c r="BA44" s="213"/>
      <c r="BB44" s="214"/>
      <c r="BC44" s="40"/>
      <c r="BD44" s="54"/>
      <c r="BE44" s="219"/>
      <c r="BF44" s="217"/>
      <c r="BG44" s="217"/>
      <c r="BH44" s="218"/>
      <c r="BI44" s="219"/>
      <c r="BJ44" s="217"/>
      <c r="BK44" s="217"/>
      <c r="BL44" s="218"/>
      <c r="BM44" s="219"/>
      <c r="BN44" s="217"/>
      <c r="BO44" s="217"/>
      <c r="BP44" s="218"/>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215">
        <f>IF([8]回答表!X41="○",[8]回答表!O71,IF([8]回答表!AA41="○",[8]回答表!O91,""))</f>
        <v>0</v>
      </c>
      <c r="AN45" s="216"/>
      <c r="AO45" s="213" t="s">
        <v>28</v>
      </c>
      <c r="AP45" s="213"/>
      <c r="AQ45" s="213"/>
      <c r="AR45" s="213"/>
      <c r="AS45" s="213"/>
      <c r="AT45" s="213"/>
      <c r="AU45" s="213"/>
      <c r="AV45" s="213"/>
      <c r="AW45" s="213"/>
      <c r="AX45" s="213"/>
      <c r="AY45" s="213"/>
      <c r="AZ45" s="213"/>
      <c r="BA45" s="213"/>
      <c r="BB45" s="214"/>
      <c r="BC45" s="40"/>
      <c r="BD45" s="54"/>
      <c r="BE45" s="220"/>
      <c r="BF45" s="221"/>
      <c r="BG45" s="221"/>
      <c r="BH45" s="222"/>
      <c r="BI45" s="220"/>
      <c r="BJ45" s="221"/>
      <c r="BK45" s="221"/>
      <c r="BL45" s="222"/>
      <c r="BM45" s="220"/>
      <c r="BN45" s="221"/>
      <c r="BO45" s="221"/>
      <c r="BP45" s="222"/>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215">
        <f>IF([8]回答表!X41="○",[8]回答表!AG68,IF([8]回答表!AA41="○",[8]回答表!AG88,""))</f>
        <v>0</v>
      </c>
      <c r="AN46" s="216"/>
      <c r="AO46" s="213" t="s">
        <v>29</v>
      </c>
      <c r="AP46" s="213"/>
      <c r="AQ46" s="213"/>
      <c r="AR46" s="213"/>
      <c r="AS46" s="213"/>
      <c r="AT46" s="213"/>
      <c r="AU46" s="213"/>
      <c r="AV46" s="213"/>
      <c r="AW46" s="213"/>
      <c r="AX46" s="213"/>
      <c r="AY46" s="213"/>
      <c r="AZ46" s="213"/>
      <c r="BA46" s="213"/>
      <c r="BB46" s="214"/>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215" t="str">
        <f>IF([8]回答表!X41="○",[8]回答表!AG69,IF([8]回答表!AA41="○",[8]回答表!AG89,""))</f>
        <v>○</v>
      </c>
      <c r="AN47" s="216"/>
      <c r="AO47" s="213" t="s">
        <v>30</v>
      </c>
      <c r="AP47" s="213"/>
      <c r="AQ47" s="213"/>
      <c r="AR47" s="213"/>
      <c r="AS47" s="213"/>
      <c r="AT47" s="213"/>
      <c r="AU47" s="213"/>
      <c r="AV47" s="213"/>
      <c r="AW47" s="213"/>
      <c r="AX47" s="213"/>
      <c r="AY47" s="213"/>
      <c r="AZ47" s="213"/>
      <c r="BA47" s="213"/>
      <c r="BB47" s="214"/>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215">
        <f>IF([8]回答表!X41="○",[8]回答表!AG70,IF([8]回答表!AA41="○",[8]回答表!AG90,""))</f>
        <v>0</v>
      </c>
      <c r="AN48" s="216"/>
      <c r="AO48" s="213" t="s">
        <v>31</v>
      </c>
      <c r="AP48" s="213"/>
      <c r="AQ48" s="213"/>
      <c r="AR48" s="213"/>
      <c r="AS48" s="213"/>
      <c r="AT48" s="213"/>
      <c r="AU48" s="213"/>
      <c r="AV48" s="213"/>
      <c r="AW48" s="213"/>
      <c r="AX48" s="213"/>
      <c r="AY48" s="213"/>
      <c r="AZ48" s="213"/>
      <c r="BA48" s="213"/>
      <c r="BB48" s="214"/>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IF([8]回答表!AD41="○","○","")</f>
        <v/>
      </c>
      <c r="O52" s="98"/>
      <c r="P52" s="98"/>
      <c r="Q52" s="99"/>
      <c r="R52" s="39"/>
      <c r="S52" s="39"/>
      <c r="T52" s="39"/>
      <c r="U52" s="106" t="str">
        <f>IF([8]回答表!AD41="○",[8]回答表!B96,"")</f>
        <v/>
      </c>
      <c r="V52" s="107"/>
      <c r="W52" s="107"/>
      <c r="X52" s="107"/>
      <c r="Y52" s="107"/>
      <c r="Z52" s="107"/>
      <c r="AA52" s="107"/>
      <c r="AB52" s="107"/>
      <c r="AC52" s="107"/>
      <c r="AD52" s="107"/>
      <c r="AE52" s="107"/>
      <c r="AF52" s="107"/>
      <c r="AG52" s="107"/>
      <c r="AH52" s="107"/>
      <c r="AI52" s="107"/>
      <c r="AJ52" s="108"/>
      <c r="AK52" s="56"/>
      <c r="AL52" s="56"/>
      <c r="AM52" s="106" t="str">
        <f>IF([8]回答表!AD41="○",[8]回答表!B101,"")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IF([8]回答表!X42="○","○","")</f>
        <v/>
      </c>
      <c r="O63" s="98"/>
      <c r="P63" s="98"/>
      <c r="Q63" s="99"/>
      <c r="R63" s="39"/>
      <c r="S63" s="39"/>
      <c r="T63" s="39"/>
      <c r="U63" s="106" t="str">
        <f>IF([8]回答表!X42="○",[8]回答表!B111,IF([8]回答表!AA42="○",[8]回答表!B124,""))</f>
        <v/>
      </c>
      <c r="V63" s="107"/>
      <c r="W63" s="107"/>
      <c r="X63" s="107"/>
      <c r="Y63" s="107"/>
      <c r="Z63" s="107"/>
      <c r="AA63" s="107"/>
      <c r="AB63" s="107"/>
      <c r="AC63" s="107"/>
      <c r="AD63" s="107"/>
      <c r="AE63" s="107"/>
      <c r="AF63" s="107"/>
      <c r="AG63" s="107"/>
      <c r="AH63" s="107"/>
      <c r="AI63" s="107"/>
      <c r="AJ63" s="108"/>
      <c r="AK63" s="50"/>
      <c r="AL63" s="50"/>
      <c r="AM63" s="212" t="s">
        <v>37</v>
      </c>
      <c r="AN63" s="212"/>
      <c r="AO63" s="212"/>
      <c r="AP63" s="212"/>
      <c r="AQ63" s="212"/>
      <c r="AR63" s="212"/>
      <c r="AS63" s="212"/>
      <c r="AT63" s="212"/>
      <c r="AU63" s="212" t="s">
        <v>38</v>
      </c>
      <c r="AV63" s="212"/>
      <c r="AW63" s="212"/>
      <c r="AX63" s="212"/>
      <c r="AY63" s="212"/>
      <c r="AZ63" s="212"/>
      <c r="BA63" s="212"/>
      <c r="BB63" s="212"/>
      <c r="BC63" s="40"/>
      <c r="BD63" s="35"/>
      <c r="BE63" s="115" t="str">
        <f>IF([8]回答表!X42="○",[8]回答表!S117,IF([8]回答表!AA42="○",[8]回答表!S130,""))</f>
        <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212"/>
      <c r="AN64" s="212"/>
      <c r="AO64" s="212"/>
      <c r="AP64" s="212"/>
      <c r="AQ64" s="212"/>
      <c r="AR64" s="212"/>
      <c r="AS64" s="212"/>
      <c r="AT64" s="212"/>
      <c r="AU64" s="212"/>
      <c r="AV64" s="212"/>
      <c r="AW64" s="212"/>
      <c r="AX64" s="212"/>
      <c r="AY64" s="212"/>
      <c r="AZ64" s="212"/>
      <c r="BA64" s="212"/>
      <c r="BB64" s="212"/>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212"/>
      <c r="AN65" s="212"/>
      <c r="AO65" s="212"/>
      <c r="AP65" s="212"/>
      <c r="AQ65" s="212"/>
      <c r="AR65" s="212"/>
      <c r="AS65" s="212"/>
      <c r="AT65" s="212"/>
      <c r="AU65" s="212"/>
      <c r="AV65" s="212"/>
      <c r="AW65" s="212"/>
      <c r="AX65" s="212"/>
      <c r="AY65" s="212"/>
      <c r="AZ65" s="212"/>
      <c r="BA65" s="212"/>
      <c r="BB65" s="212"/>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IF([8]回答表!X42="○",[8]回答表!J117,IF([8]回答表!AA42="○",[8]回答表!J130,""))</f>
        <v/>
      </c>
      <c r="AN66" s="119"/>
      <c r="AO66" s="119"/>
      <c r="AP66" s="119"/>
      <c r="AQ66" s="119"/>
      <c r="AR66" s="119"/>
      <c r="AS66" s="119"/>
      <c r="AT66" s="120"/>
      <c r="AU66" s="118" t="str">
        <f>IF([8]回答表!X42="○",[8]回答表!J118,IF([8]回答表!AA42="○",[8]回答表!J131,""))</f>
        <v/>
      </c>
      <c r="AV66" s="119"/>
      <c r="AW66" s="119"/>
      <c r="AX66" s="119"/>
      <c r="AY66" s="119"/>
      <c r="AZ66" s="119"/>
      <c r="BA66" s="119"/>
      <c r="BB66" s="120"/>
      <c r="BC66" s="40"/>
      <c r="BD66" s="35"/>
      <c r="BE66" s="82" t="str">
        <f>IF([8]回答表!X42="○",[8]回答表!V117,IF([8]回答表!AA42="○",[8]回答表!V130,""))</f>
        <v/>
      </c>
      <c r="BF66" s="83"/>
      <c r="BG66" s="83"/>
      <c r="BH66" s="83"/>
      <c r="BI66" s="82" t="str">
        <f>IF([8]回答表!X42="○",[8]回答表!V118,IF([8]回答表!AA42="○",[8]回答表!V131,""))</f>
        <v/>
      </c>
      <c r="BJ66" s="83"/>
      <c r="BK66" s="83"/>
      <c r="BL66" s="83"/>
      <c r="BM66" s="82" t="str">
        <f>IF([8]回答表!X42="○",[8]回答表!V119,IF([8]回答表!AA42="○",[8]回答表!V132,""))</f>
        <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IF([8]回答表!AA42="○","○","")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IF([8]回答表!AD42="○","○","")</f>
        <v/>
      </c>
      <c r="O75" s="98"/>
      <c r="P75" s="98"/>
      <c r="Q75" s="99"/>
      <c r="R75" s="39"/>
      <c r="S75" s="39"/>
      <c r="T75" s="39"/>
      <c r="U75" s="106" t="str">
        <f>IF([8]回答表!AD42="○",[8]回答表!B137,"")</f>
        <v/>
      </c>
      <c r="V75" s="107"/>
      <c r="W75" s="107"/>
      <c r="X75" s="107"/>
      <c r="Y75" s="107"/>
      <c r="Z75" s="107"/>
      <c r="AA75" s="107"/>
      <c r="AB75" s="107"/>
      <c r="AC75" s="107"/>
      <c r="AD75" s="107"/>
      <c r="AE75" s="107"/>
      <c r="AF75" s="107"/>
      <c r="AG75" s="107"/>
      <c r="AH75" s="107"/>
      <c r="AI75" s="107"/>
      <c r="AJ75" s="108"/>
      <c r="AK75" s="56"/>
      <c r="AL75" s="56"/>
      <c r="AM75" s="106" t="str">
        <f>IF([8]回答表!AD42="○",[8]回答表!B143,"")</f>
        <v/>
      </c>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8"/>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109"/>
      <c r="V76" s="110"/>
      <c r="W76" s="110"/>
      <c r="X76" s="110"/>
      <c r="Y76" s="110"/>
      <c r="Z76" s="110"/>
      <c r="AA76" s="110"/>
      <c r="AB76" s="110"/>
      <c r="AC76" s="110"/>
      <c r="AD76" s="110"/>
      <c r="AE76" s="110"/>
      <c r="AF76" s="110"/>
      <c r="AG76" s="110"/>
      <c r="AH76" s="110"/>
      <c r="AI76" s="110"/>
      <c r="AJ76" s="111"/>
      <c r="AK76" s="56"/>
      <c r="AL76" s="56"/>
      <c r="AM76" s="109"/>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1"/>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109"/>
      <c r="V77" s="110"/>
      <c r="W77" s="110"/>
      <c r="X77" s="110"/>
      <c r="Y77" s="110"/>
      <c r="Z77" s="110"/>
      <c r="AA77" s="110"/>
      <c r="AB77" s="110"/>
      <c r="AC77" s="110"/>
      <c r="AD77" s="110"/>
      <c r="AE77" s="110"/>
      <c r="AF77" s="110"/>
      <c r="AG77" s="110"/>
      <c r="AH77" s="110"/>
      <c r="AI77" s="110"/>
      <c r="AJ77" s="111"/>
      <c r="AK77" s="56"/>
      <c r="AL77" s="56"/>
      <c r="AM77" s="109"/>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1"/>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112"/>
      <c r="V78" s="113"/>
      <c r="W78" s="113"/>
      <c r="X78" s="113"/>
      <c r="Y78" s="113"/>
      <c r="Z78" s="113"/>
      <c r="AA78" s="113"/>
      <c r="AB78" s="113"/>
      <c r="AC78" s="113"/>
      <c r="AD78" s="113"/>
      <c r="AE78" s="113"/>
      <c r="AF78" s="113"/>
      <c r="AG78" s="113"/>
      <c r="AH78" s="113"/>
      <c r="AI78" s="113"/>
      <c r="AJ78" s="114"/>
      <c r="AK78" s="56"/>
      <c r="AL78" s="56"/>
      <c r="AM78" s="112"/>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4"/>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62"/>
      <c r="AS81" s="162"/>
      <c r="AT81" s="162"/>
      <c r="AU81" s="162"/>
      <c r="AV81" s="162"/>
      <c r="AW81" s="162"/>
      <c r="AX81" s="162"/>
      <c r="AY81" s="162"/>
      <c r="AZ81" s="162"/>
      <c r="BA81" s="162"/>
      <c r="BB81" s="162"/>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87"/>
      <c r="AS82" s="187"/>
      <c r="AT82" s="187"/>
      <c r="AU82" s="187"/>
      <c r="AV82" s="187"/>
      <c r="AW82" s="187"/>
      <c r="AX82" s="187"/>
      <c r="AY82" s="187"/>
      <c r="AZ82" s="187"/>
      <c r="BA82" s="187"/>
      <c r="BB82" s="187"/>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81" t="s">
        <v>18</v>
      </c>
      <c r="E87" s="181"/>
      <c r="F87" s="181"/>
      <c r="G87" s="181"/>
      <c r="H87" s="181"/>
      <c r="I87" s="181"/>
      <c r="J87" s="181"/>
      <c r="K87" s="181"/>
      <c r="L87" s="181"/>
      <c r="M87" s="181"/>
      <c r="N87" s="97" t="str">
        <f>IF([8]回答表!F17="水道事業",IF([8]回答表!X43="○","○",""),"")</f>
        <v/>
      </c>
      <c r="O87" s="98"/>
      <c r="P87" s="98"/>
      <c r="Q87" s="99"/>
      <c r="R87" s="39"/>
      <c r="S87" s="39"/>
      <c r="T87" s="39"/>
      <c r="U87" s="188" t="s">
        <v>41</v>
      </c>
      <c r="V87" s="189"/>
      <c r="W87" s="189"/>
      <c r="X87" s="189"/>
      <c r="Y87" s="189"/>
      <c r="Z87" s="189"/>
      <c r="AA87" s="189"/>
      <c r="AB87" s="189"/>
      <c r="AC87" s="188" t="s">
        <v>42</v>
      </c>
      <c r="AD87" s="189"/>
      <c r="AE87" s="189"/>
      <c r="AF87" s="189"/>
      <c r="AG87" s="189"/>
      <c r="AH87" s="189"/>
      <c r="AI87" s="189"/>
      <c r="AJ87" s="198"/>
      <c r="AK87" s="50"/>
      <c r="AL87" s="50"/>
      <c r="AM87" s="106" t="str">
        <f>IF([8]回答表!F17="水道事業",IF([8]回答表!X43="○",[8]回答表!B154,IF([8]回答表!AA43="○",[8]回答表!B201,"")),"")</f>
        <v/>
      </c>
      <c r="AN87" s="107"/>
      <c r="AO87" s="107"/>
      <c r="AP87" s="107"/>
      <c r="AQ87" s="107"/>
      <c r="AR87" s="107"/>
      <c r="AS87" s="107"/>
      <c r="AT87" s="107"/>
      <c r="AU87" s="107"/>
      <c r="AV87" s="107"/>
      <c r="AW87" s="107"/>
      <c r="AX87" s="107"/>
      <c r="AY87" s="107"/>
      <c r="AZ87" s="107"/>
      <c r="BA87" s="107"/>
      <c r="BB87" s="108"/>
      <c r="BC87" s="40"/>
      <c r="BD87" s="35"/>
      <c r="BE87" s="115" t="str">
        <f>IF([8]回答表!F17="水道事業",IF([8]回答表!X43="○",[8]回答表!B190,IF([8]回答表!AA43="○",[8]回答表!B238,"")),"")</f>
        <v/>
      </c>
      <c r="BF87" s="116"/>
      <c r="BG87" s="116"/>
      <c r="BH87" s="116"/>
      <c r="BI87" s="115"/>
      <c r="BJ87" s="116"/>
      <c r="BK87" s="116"/>
      <c r="BL87" s="116"/>
      <c r="BM87" s="115"/>
      <c r="BN87" s="116"/>
      <c r="BO87" s="116"/>
      <c r="BP87" s="117"/>
      <c r="BQ87" s="38"/>
    </row>
    <row r="88" spans="3:69" ht="19.350000000000001" customHeight="1" x14ac:dyDescent="0.4">
      <c r="C88" s="33"/>
      <c r="D88" s="181"/>
      <c r="E88" s="181"/>
      <c r="F88" s="181"/>
      <c r="G88" s="181"/>
      <c r="H88" s="181"/>
      <c r="I88" s="181"/>
      <c r="J88" s="181"/>
      <c r="K88" s="181"/>
      <c r="L88" s="181"/>
      <c r="M88" s="181"/>
      <c r="N88" s="100"/>
      <c r="O88" s="101"/>
      <c r="P88" s="101"/>
      <c r="Q88" s="102"/>
      <c r="R88" s="39"/>
      <c r="S88" s="39"/>
      <c r="T88" s="39"/>
      <c r="U88" s="190"/>
      <c r="V88" s="191"/>
      <c r="W88" s="191"/>
      <c r="X88" s="191"/>
      <c r="Y88" s="191"/>
      <c r="Z88" s="191"/>
      <c r="AA88" s="191"/>
      <c r="AB88" s="191"/>
      <c r="AC88" s="190"/>
      <c r="AD88" s="191"/>
      <c r="AE88" s="191"/>
      <c r="AF88" s="191"/>
      <c r="AG88" s="191"/>
      <c r="AH88" s="191"/>
      <c r="AI88" s="191"/>
      <c r="AJ88" s="199"/>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81"/>
      <c r="E89" s="181"/>
      <c r="F89" s="181"/>
      <c r="G89" s="181"/>
      <c r="H89" s="181"/>
      <c r="I89" s="181"/>
      <c r="J89" s="181"/>
      <c r="K89" s="181"/>
      <c r="L89" s="181"/>
      <c r="M89" s="181"/>
      <c r="N89" s="100"/>
      <c r="O89" s="101"/>
      <c r="P89" s="101"/>
      <c r="Q89" s="102"/>
      <c r="R89" s="39"/>
      <c r="S89" s="39"/>
      <c r="T89" s="39"/>
      <c r="U89" s="118" t="str">
        <f>IF([8]回答表!F17="水道事業",IF([8]回答表!X43="○",[8]回答表!J162,IF([8]回答表!AA43="○",[8]回答表!J209,"")),"")</f>
        <v/>
      </c>
      <c r="V89" s="119"/>
      <c r="W89" s="119"/>
      <c r="X89" s="119"/>
      <c r="Y89" s="119"/>
      <c r="Z89" s="119"/>
      <c r="AA89" s="119"/>
      <c r="AB89" s="120"/>
      <c r="AC89" s="118" t="str">
        <f>IF([8]回答表!F17="水道事業",IF([8]回答表!X43="○",[8]回答表!J169,IF([8]回答表!AA43="○",[8]回答表!J216,"")),"")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81"/>
      <c r="E90" s="181"/>
      <c r="F90" s="181"/>
      <c r="G90" s="181"/>
      <c r="H90" s="181"/>
      <c r="I90" s="181"/>
      <c r="J90" s="181"/>
      <c r="K90" s="181"/>
      <c r="L90" s="181"/>
      <c r="M90" s="181"/>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IF([8]回答表!F17="水道事業",IF([8]回答表!X43="○",[8]回答表!E190,IF([8]回答表!AA43="○",[8]回答表!E238,"")),"")</f>
        <v/>
      </c>
      <c r="BF90" s="83"/>
      <c r="BG90" s="83"/>
      <c r="BH90" s="83"/>
      <c r="BI90" s="82" t="str">
        <f>IF([8]回答表!F17="水道事業",IF([8]回答表!X43="○",[8]回答表!E191,IF([8]回答表!AA43="○",[8]回答表!E239,"")),"")</f>
        <v/>
      </c>
      <c r="BJ90" s="83"/>
      <c r="BK90" s="83"/>
      <c r="BL90" s="83"/>
      <c r="BM90" s="82" t="str">
        <f>IF([8]回答表!F17="水道事業",IF([8]回答表!X43="○",[8]回答表!E192,IF([8]回答表!AA43="○",[8]回答表!E240,"")),"")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88" t="s">
        <v>43</v>
      </c>
      <c r="V92" s="189"/>
      <c r="W92" s="189"/>
      <c r="X92" s="189"/>
      <c r="Y92" s="189"/>
      <c r="Z92" s="189"/>
      <c r="AA92" s="189"/>
      <c r="AB92" s="189"/>
      <c r="AC92" s="188" t="s">
        <v>44</v>
      </c>
      <c r="AD92" s="189"/>
      <c r="AE92" s="189"/>
      <c r="AF92" s="189"/>
      <c r="AG92" s="189"/>
      <c r="AH92" s="189"/>
      <c r="AI92" s="189"/>
      <c r="AJ92" s="198"/>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86" t="s">
        <v>26</v>
      </c>
      <c r="E93" s="181"/>
      <c r="F93" s="181"/>
      <c r="G93" s="181"/>
      <c r="H93" s="181"/>
      <c r="I93" s="181"/>
      <c r="J93" s="181"/>
      <c r="K93" s="181"/>
      <c r="L93" s="181"/>
      <c r="M93" s="182"/>
      <c r="N93" s="97" t="str">
        <f>IF([8]回答表!F17="水道事業",IF([8]回答表!AA43="○","○",""),"")</f>
        <v/>
      </c>
      <c r="O93" s="98"/>
      <c r="P93" s="98"/>
      <c r="Q93" s="99"/>
      <c r="R93" s="39"/>
      <c r="S93" s="39"/>
      <c r="T93" s="39"/>
      <c r="U93" s="190"/>
      <c r="V93" s="191"/>
      <c r="W93" s="191"/>
      <c r="X93" s="191"/>
      <c r="Y93" s="191"/>
      <c r="Z93" s="191"/>
      <c r="AA93" s="191"/>
      <c r="AB93" s="191"/>
      <c r="AC93" s="190"/>
      <c r="AD93" s="191"/>
      <c r="AE93" s="191"/>
      <c r="AF93" s="191"/>
      <c r="AG93" s="191"/>
      <c r="AH93" s="191"/>
      <c r="AI93" s="191"/>
      <c r="AJ93" s="199"/>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81"/>
      <c r="E94" s="181"/>
      <c r="F94" s="181"/>
      <c r="G94" s="181"/>
      <c r="H94" s="181"/>
      <c r="I94" s="181"/>
      <c r="J94" s="181"/>
      <c r="K94" s="181"/>
      <c r="L94" s="181"/>
      <c r="M94" s="182"/>
      <c r="N94" s="100"/>
      <c r="O94" s="101"/>
      <c r="P94" s="101"/>
      <c r="Q94" s="102"/>
      <c r="R94" s="39"/>
      <c r="S94" s="39"/>
      <c r="T94" s="39"/>
      <c r="U94" s="118" t="str">
        <f>IF([8]回答表!F17="水道事業",IF([8]回答表!X43="○",[8]回答表!J172,IF([8]回答表!AA43="○",[8]回答表!J219,"")),"")</f>
        <v/>
      </c>
      <c r="V94" s="119"/>
      <c r="W94" s="119"/>
      <c r="X94" s="119"/>
      <c r="Y94" s="119"/>
      <c r="Z94" s="119"/>
      <c r="AA94" s="119"/>
      <c r="AB94" s="120"/>
      <c r="AC94" s="118" t="str">
        <f>IF([8]回答表!F17="水道事業",IF([8]回答表!X43="○",[8]回答表!J176,IF([8]回答表!AA43="○",[8]回答表!J223,"")),"")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81"/>
      <c r="E95" s="181"/>
      <c r="F95" s="181"/>
      <c r="G95" s="181"/>
      <c r="H95" s="181"/>
      <c r="I95" s="181"/>
      <c r="J95" s="181"/>
      <c r="K95" s="181"/>
      <c r="L95" s="181"/>
      <c r="M95" s="182"/>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81"/>
      <c r="E96" s="181"/>
      <c r="F96" s="181"/>
      <c r="G96" s="181"/>
      <c r="H96" s="181"/>
      <c r="I96" s="181"/>
      <c r="J96" s="181"/>
      <c r="K96" s="181"/>
      <c r="L96" s="181"/>
      <c r="M96" s="182"/>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81" t="s">
        <v>34</v>
      </c>
      <c r="E99" s="181"/>
      <c r="F99" s="181"/>
      <c r="G99" s="181"/>
      <c r="H99" s="181"/>
      <c r="I99" s="181"/>
      <c r="J99" s="181"/>
      <c r="K99" s="181"/>
      <c r="L99" s="181"/>
      <c r="M99" s="182"/>
      <c r="N99" s="97" t="str">
        <f>IF([8]回答表!F17="水道事業",IF([8]回答表!AD43="○","○",""),"")</f>
        <v/>
      </c>
      <c r="O99" s="98"/>
      <c r="P99" s="98"/>
      <c r="Q99" s="99"/>
      <c r="R99" s="39"/>
      <c r="S99" s="39"/>
      <c r="T99" s="39"/>
      <c r="U99" s="106" t="str">
        <f>IF([8]回答表!F17="水道事業",IF([8]回答表!AD43="○",[8]回答表!B249,""),"")</f>
        <v/>
      </c>
      <c r="V99" s="107"/>
      <c r="W99" s="107"/>
      <c r="X99" s="107"/>
      <c r="Y99" s="107"/>
      <c r="Z99" s="107"/>
      <c r="AA99" s="107"/>
      <c r="AB99" s="107"/>
      <c r="AC99" s="107"/>
      <c r="AD99" s="107"/>
      <c r="AE99" s="107"/>
      <c r="AF99" s="107"/>
      <c r="AG99" s="107"/>
      <c r="AH99" s="107"/>
      <c r="AI99" s="107"/>
      <c r="AJ99" s="108"/>
      <c r="AK99" s="56"/>
      <c r="AL99" s="56"/>
      <c r="AM99" s="106" t="str">
        <f>IF([8]回答表!F17="水道事業",IF([8]回答表!AD43="○",[8]回答表!B255,""),"")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81"/>
      <c r="E100" s="181"/>
      <c r="F100" s="181"/>
      <c r="G100" s="181"/>
      <c r="H100" s="181"/>
      <c r="I100" s="181"/>
      <c r="J100" s="181"/>
      <c r="K100" s="181"/>
      <c r="L100" s="181"/>
      <c r="M100" s="182"/>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81"/>
      <c r="E101" s="181"/>
      <c r="F101" s="181"/>
      <c r="G101" s="181"/>
      <c r="H101" s="181"/>
      <c r="I101" s="181"/>
      <c r="J101" s="181"/>
      <c r="K101" s="181"/>
      <c r="L101" s="181"/>
      <c r="M101" s="182"/>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81"/>
      <c r="E102" s="181"/>
      <c r="F102" s="181"/>
      <c r="G102" s="181"/>
      <c r="H102" s="181"/>
      <c r="I102" s="181"/>
      <c r="J102" s="181"/>
      <c r="K102" s="181"/>
      <c r="L102" s="181"/>
      <c r="M102" s="182"/>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62"/>
      <c r="AS105" s="162"/>
      <c r="AT105" s="162"/>
      <c r="AU105" s="162"/>
      <c r="AV105" s="162"/>
      <c r="AW105" s="162"/>
      <c r="AX105" s="162"/>
      <c r="AY105" s="162"/>
      <c r="AZ105" s="162"/>
      <c r="BA105" s="162"/>
      <c r="BB105" s="162"/>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87"/>
      <c r="AS106" s="187"/>
      <c r="AT106" s="187"/>
      <c r="AU106" s="187"/>
      <c r="AV106" s="187"/>
      <c r="AW106" s="187"/>
      <c r="AX106" s="187"/>
      <c r="AY106" s="187"/>
      <c r="AZ106" s="187"/>
      <c r="BA106" s="187"/>
      <c r="BB106" s="187"/>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81" t="s">
        <v>18</v>
      </c>
      <c r="E111" s="181"/>
      <c r="F111" s="181"/>
      <c r="G111" s="181"/>
      <c r="H111" s="181"/>
      <c r="I111" s="181"/>
      <c r="J111" s="181"/>
      <c r="K111" s="181"/>
      <c r="L111" s="181"/>
      <c r="M111" s="181"/>
      <c r="N111" s="97" t="str">
        <f>IF([8]回答表!F17="簡易水道事業",IF([8]回答表!X43="○","○",""),"")</f>
        <v/>
      </c>
      <c r="O111" s="98"/>
      <c r="P111" s="98"/>
      <c r="Q111" s="99"/>
      <c r="R111" s="39"/>
      <c r="S111" s="39"/>
      <c r="T111" s="39"/>
      <c r="U111" s="188" t="s">
        <v>46</v>
      </c>
      <c r="V111" s="189"/>
      <c r="W111" s="189"/>
      <c r="X111" s="189"/>
      <c r="Y111" s="189"/>
      <c r="Z111" s="189"/>
      <c r="AA111" s="189"/>
      <c r="AB111" s="189"/>
      <c r="AC111" s="189"/>
      <c r="AD111" s="189"/>
      <c r="AE111" s="189"/>
      <c r="AF111" s="189"/>
      <c r="AG111" s="189"/>
      <c r="AH111" s="189"/>
      <c r="AI111" s="189"/>
      <c r="AJ111" s="198"/>
      <c r="AK111" s="50"/>
      <c r="AL111" s="50"/>
      <c r="AM111" s="106" t="str">
        <f>IF([8]回答表!F17="簡易水道事業",IF([8]回答表!X43="○",[8]回答表!B154,IF([8]回答表!AA43="○",[8]回答表!B201,"")),"")</f>
        <v/>
      </c>
      <c r="AN111" s="107"/>
      <c r="AO111" s="107"/>
      <c r="AP111" s="107"/>
      <c r="AQ111" s="107"/>
      <c r="AR111" s="107"/>
      <c r="AS111" s="107"/>
      <c r="AT111" s="107"/>
      <c r="AU111" s="107"/>
      <c r="AV111" s="107"/>
      <c r="AW111" s="107"/>
      <c r="AX111" s="107"/>
      <c r="AY111" s="107"/>
      <c r="AZ111" s="107"/>
      <c r="BA111" s="107"/>
      <c r="BB111" s="108"/>
      <c r="BC111" s="40"/>
      <c r="BD111" s="35"/>
      <c r="BE111" s="115" t="str">
        <f>IF([8]回答表!F17="簡易水道事業",IF([8]回答表!X43="○",[8]回答表!B190,IF([8]回答表!AA43="○",[8]回答表!B238,"")),"")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81"/>
      <c r="E112" s="181"/>
      <c r="F112" s="181"/>
      <c r="G112" s="181"/>
      <c r="H112" s="181"/>
      <c r="I112" s="181"/>
      <c r="J112" s="181"/>
      <c r="K112" s="181"/>
      <c r="L112" s="181"/>
      <c r="M112" s="181"/>
      <c r="N112" s="100"/>
      <c r="O112" s="101"/>
      <c r="P112" s="101"/>
      <c r="Q112" s="102"/>
      <c r="R112" s="39"/>
      <c r="S112" s="39"/>
      <c r="T112" s="39"/>
      <c r="U112" s="200"/>
      <c r="V112" s="201"/>
      <c r="W112" s="201"/>
      <c r="X112" s="201"/>
      <c r="Y112" s="201"/>
      <c r="Z112" s="201"/>
      <c r="AA112" s="201"/>
      <c r="AB112" s="201"/>
      <c r="AC112" s="201"/>
      <c r="AD112" s="201"/>
      <c r="AE112" s="201"/>
      <c r="AF112" s="201"/>
      <c r="AG112" s="201"/>
      <c r="AH112" s="201"/>
      <c r="AI112" s="201"/>
      <c r="AJ112" s="202"/>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81"/>
      <c r="E113" s="181"/>
      <c r="F113" s="181"/>
      <c r="G113" s="181"/>
      <c r="H113" s="181"/>
      <c r="I113" s="181"/>
      <c r="J113" s="181"/>
      <c r="K113" s="181"/>
      <c r="L113" s="181"/>
      <c r="M113" s="181"/>
      <c r="N113" s="100"/>
      <c r="O113" s="101"/>
      <c r="P113" s="101"/>
      <c r="Q113" s="102"/>
      <c r="R113" s="39"/>
      <c r="S113" s="39"/>
      <c r="T113" s="39"/>
      <c r="U113" s="118" t="str">
        <f>IF([8]回答表!F17="簡易水道事業",IF([8]回答表!X43="○",[8]回答表!Y181,IF([8]回答表!AA43="○",[8]回答表!Y229,"")),"")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81"/>
      <c r="E114" s="181"/>
      <c r="F114" s="181"/>
      <c r="G114" s="181"/>
      <c r="H114" s="181"/>
      <c r="I114" s="181"/>
      <c r="J114" s="181"/>
      <c r="K114" s="181"/>
      <c r="L114" s="181"/>
      <c r="M114" s="181"/>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IF([8]回答表!F17="簡易水道事業",IF([8]回答表!X43="○",[8]回答表!E190,IF([8]回答表!AA43="○",[8]回答表!E238,"")),"")</f>
        <v/>
      </c>
      <c r="BF114" s="83"/>
      <c r="BG114" s="83"/>
      <c r="BH114" s="83"/>
      <c r="BI114" s="82" t="str">
        <f>IF([8]回答表!F17="簡易水道事業",IF([8]回答表!X43="○",[8]回答表!E191,IF([8]回答表!AA43="○",[8]回答表!E239,"")),"")</f>
        <v/>
      </c>
      <c r="BJ114" s="83"/>
      <c r="BK114" s="83"/>
      <c r="BL114" s="83"/>
      <c r="BM114" s="82" t="str">
        <f>IF([8]回答表!F17="簡易水道事業",IF([8]回答表!X43="○",[8]回答表!E192,IF([8]回答表!AA43="○",[8]回答表!E240,"")),"")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88" t="s">
        <v>47</v>
      </c>
      <c r="V116" s="189"/>
      <c r="W116" s="189"/>
      <c r="X116" s="189"/>
      <c r="Y116" s="189"/>
      <c r="Z116" s="189"/>
      <c r="AA116" s="189"/>
      <c r="AB116" s="189"/>
      <c r="AC116" s="189"/>
      <c r="AD116" s="189"/>
      <c r="AE116" s="189"/>
      <c r="AF116" s="189"/>
      <c r="AG116" s="189"/>
      <c r="AH116" s="189"/>
      <c r="AI116" s="189"/>
      <c r="AJ116" s="198"/>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86" t="s">
        <v>26</v>
      </c>
      <c r="E117" s="181"/>
      <c r="F117" s="181"/>
      <c r="G117" s="181"/>
      <c r="H117" s="181"/>
      <c r="I117" s="181"/>
      <c r="J117" s="181"/>
      <c r="K117" s="181"/>
      <c r="L117" s="181"/>
      <c r="M117" s="182"/>
      <c r="N117" s="97" t="str">
        <f>IF([8]回答表!F17="簡易水道事業",IF([8]回答表!AA43="○","○",""),"")</f>
        <v/>
      </c>
      <c r="O117" s="98"/>
      <c r="P117" s="98"/>
      <c r="Q117" s="99"/>
      <c r="R117" s="39"/>
      <c r="S117" s="39"/>
      <c r="T117" s="39"/>
      <c r="U117" s="200"/>
      <c r="V117" s="201"/>
      <c r="W117" s="201"/>
      <c r="X117" s="201"/>
      <c r="Y117" s="201"/>
      <c r="Z117" s="201"/>
      <c r="AA117" s="201"/>
      <c r="AB117" s="201"/>
      <c r="AC117" s="201"/>
      <c r="AD117" s="201"/>
      <c r="AE117" s="201"/>
      <c r="AF117" s="201"/>
      <c r="AG117" s="201"/>
      <c r="AH117" s="201"/>
      <c r="AI117" s="201"/>
      <c r="AJ117" s="202"/>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81"/>
      <c r="E118" s="181"/>
      <c r="F118" s="181"/>
      <c r="G118" s="181"/>
      <c r="H118" s="181"/>
      <c r="I118" s="181"/>
      <c r="J118" s="181"/>
      <c r="K118" s="181"/>
      <c r="L118" s="181"/>
      <c r="M118" s="182"/>
      <c r="N118" s="100"/>
      <c r="O118" s="101"/>
      <c r="P118" s="101"/>
      <c r="Q118" s="102"/>
      <c r="R118" s="39"/>
      <c r="S118" s="39"/>
      <c r="T118" s="39"/>
      <c r="U118" s="118" t="str">
        <f>IF([8]回答表!F17="簡易水道事業",IF([8]回答表!X43="○",[8]回答表!Y182,IF([8]回答表!AA43="○",[8]回答表!Y230,"")),"")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81"/>
      <c r="E119" s="181"/>
      <c r="F119" s="181"/>
      <c r="G119" s="181"/>
      <c r="H119" s="181"/>
      <c r="I119" s="181"/>
      <c r="J119" s="181"/>
      <c r="K119" s="181"/>
      <c r="L119" s="181"/>
      <c r="M119" s="182"/>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81"/>
      <c r="E120" s="181"/>
      <c r="F120" s="181"/>
      <c r="G120" s="181"/>
      <c r="H120" s="181"/>
      <c r="I120" s="181"/>
      <c r="J120" s="181"/>
      <c r="K120" s="181"/>
      <c r="L120" s="181"/>
      <c r="M120" s="182"/>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81" t="s">
        <v>34</v>
      </c>
      <c r="E123" s="181"/>
      <c r="F123" s="181"/>
      <c r="G123" s="181"/>
      <c r="H123" s="181"/>
      <c r="I123" s="181"/>
      <c r="J123" s="181"/>
      <c r="K123" s="181"/>
      <c r="L123" s="181"/>
      <c r="M123" s="182"/>
      <c r="N123" s="97" t="str">
        <f>IF([8]回答表!F17="簡易水道事業",IF([8]回答表!AD43="○","○",""),"")</f>
        <v/>
      </c>
      <c r="O123" s="98"/>
      <c r="P123" s="98"/>
      <c r="Q123" s="99"/>
      <c r="R123" s="39"/>
      <c r="S123" s="39"/>
      <c r="T123" s="39"/>
      <c r="U123" s="106" t="str">
        <f>IF([8]回答表!F17="簡易水道事業",IF([8]回答表!AD43="○",[8]回答表!B249,""),"")</f>
        <v/>
      </c>
      <c r="V123" s="107"/>
      <c r="W123" s="107"/>
      <c r="X123" s="107"/>
      <c r="Y123" s="107"/>
      <c r="Z123" s="107"/>
      <c r="AA123" s="107"/>
      <c r="AB123" s="107"/>
      <c r="AC123" s="107"/>
      <c r="AD123" s="107"/>
      <c r="AE123" s="107"/>
      <c r="AF123" s="107"/>
      <c r="AG123" s="107"/>
      <c r="AH123" s="107"/>
      <c r="AI123" s="107"/>
      <c r="AJ123" s="108"/>
      <c r="AK123" s="56"/>
      <c r="AL123" s="56"/>
      <c r="AM123" s="106" t="str">
        <f>IF([8]回答表!F17="簡易水道事業",IF([8]回答表!AD43="○",[8]回答表!B255,""),"")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81"/>
      <c r="E124" s="181"/>
      <c r="F124" s="181"/>
      <c r="G124" s="181"/>
      <c r="H124" s="181"/>
      <c r="I124" s="181"/>
      <c r="J124" s="181"/>
      <c r="K124" s="181"/>
      <c r="L124" s="181"/>
      <c r="M124" s="182"/>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81"/>
      <c r="E125" s="181"/>
      <c r="F125" s="181"/>
      <c r="G125" s="181"/>
      <c r="H125" s="181"/>
      <c r="I125" s="181"/>
      <c r="J125" s="181"/>
      <c r="K125" s="181"/>
      <c r="L125" s="181"/>
      <c r="M125" s="182"/>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81"/>
      <c r="E126" s="181"/>
      <c r="F126" s="181"/>
      <c r="G126" s="181"/>
      <c r="H126" s="181"/>
      <c r="I126" s="181"/>
      <c r="J126" s="181"/>
      <c r="K126" s="181"/>
      <c r="L126" s="181"/>
      <c r="M126" s="182"/>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62"/>
      <c r="AS129" s="162"/>
      <c r="AT129" s="162"/>
      <c r="AU129" s="162"/>
      <c r="AV129" s="162"/>
      <c r="AW129" s="162"/>
      <c r="AX129" s="162"/>
      <c r="AY129" s="162"/>
      <c r="AZ129" s="162"/>
      <c r="BA129" s="162"/>
      <c r="BB129" s="162"/>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87"/>
      <c r="AS130" s="187"/>
      <c r="AT130" s="187"/>
      <c r="AU130" s="187"/>
      <c r="AV130" s="187"/>
      <c r="AW130" s="187"/>
      <c r="AX130" s="187"/>
      <c r="AY130" s="187"/>
      <c r="AZ130" s="187"/>
      <c r="BA130" s="187"/>
      <c r="BB130" s="187"/>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81" t="s">
        <v>18</v>
      </c>
      <c r="E135" s="181"/>
      <c r="F135" s="181"/>
      <c r="G135" s="181"/>
      <c r="H135" s="181"/>
      <c r="I135" s="181"/>
      <c r="J135" s="181"/>
      <c r="K135" s="181"/>
      <c r="L135" s="181"/>
      <c r="M135" s="181"/>
      <c r="N135" s="97" t="str">
        <f>IF([8]回答表!F17="下水道事業",IF([8]回答表!X43="○","○",""),"")</f>
        <v/>
      </c>
      <c r="O135" s="98"/>
      <c r="P135" s="98"/>
      <c r="Q135" s="99"/>
      <c r="R135" s="39"/>
      <c r="S135" s="39"/>
      <c r="T135" s="39"/>
      <c r="U135" s="188" t="s">
        <v>49</v>
      </c>
      <c r="V135" s="189"/>
      <c r="W135" s="189"/>
      <c r="X135" s="189"/>
      <c r="Y135" s="189"/>
      <c r="Z135" s="189"/>
      <c r="AA135" s="189"/>
      <c r="AB135" s="189"/>
      <c r="AC135" s="188" t="s">
        <v>50</v>
      </c>
      <c r="AD135" s="189"/>
      <c r="AE135" s="189"/>
      <c r="AF135" s="189"/>
      <c r="AG135" s="189"/>
      <c r="AH135" s="189"/>
      <c r="AI135" s="189"/>
      <c r="AJ135" s="198"/>
      <c r="AK135" s="50"/>
      <c r="AL135" s="50"/>
      <c r="AM135" s="106" t="str">
        <f>IF([8]回答表!F17="下水道事業",IF([8]回答表!X43="○",[8]回答表!B154,IF([8]回答表!AA43="○",[8]回答表!B201,"")),"")</f>
        <v/>
      </c>
      <c r="AN135" s="107"/>
      <c r="AO135" s="107"/>
      <c r="AP135" s="107"/>
      <c r="AQ135" s="107"/>
      <c r="AR135" s="107"/>
      <c r="AS135" s="107"/>
      <c r="AT135" s="107"/>
      <c r="AU135" s="107"/>
      <c r="AV135" s="107"/>
      <c r="AW135" s="107"/>
      <c r="AX135" s="107"/>
      <c r="AY135" s="107"/>
      <c r="AZ135" s="107"/>
      <c r="BA135" s="107"/>
      <c r="BB135" s="108"/>
      <c r="BC135" s="40"/>
      <c r="BD135" s="35"/>
      <c r="BE135" s="115" t="str">
        <f>IF([8]回答表!F17="下水道事業",IF([8]回答表!X43="○",[8]回答表!B190,IF([8]回答表!AA43="○",[8]回答表!B238,"")),"")</f>
        <v/>
      </c>
      <c r="BF135" s="116"/>
      <c r="BG135" s="116"/>
      <c r="BH135" s="116"/>
      <c r="BI135" s="115"/>
      <c r="BJ135" s="116"/>
      <c r="BK135" s="116"/>
      <c r="BL135" s="116"/>
      <c r="BM135" s="115"/>
      <c r="BN135" s="116"/>
      <c r="BO135" s="116"/>
      <c r="BP135" s="117"/>
      <c r="BQ135" s="38"/>
    </row>
    <row r="136" spans="3:69" ht="19.350000000000001" customHeight="1" x14ac:dyDescent="0.4">
      <c r="C136" s="33"/>
      <c r="D136" s="181"/>
      <c r="E136" s="181"/>
      <c r="F136" s="181"/>
      <c r="G136" s="181"/>
      <c r="H136" s="181"/>
      <c r="I136" s="181"/>
      <c r="J136" s="181"/>
      <c r="K136" s="181"/>
      <c r="L136" s="181"/>
      <c r="M136" s="181"/>
      <c r="N136" s="100"/>
      <c r="O136" s="101"/>
      <c r="P136" s="101"/>
      <c r="Q136" s="102"/>
      <c r="R136" s="39"/>
      <c r="S136" s="39"/>
      <c r="T136" s="39"/>
      <c r="U136" s="190"/>
      <c r="V136" s="191"/>
      <c r="W136" s="191"/>
      <c r="X136" s="191"/>
      <c r="Y136" s="191"/>
      <c r="Z136" s="191"/>
      <c r="AA136" s="191"/>
      <c r="AB136" s="191"/>
      <c r="AC136" s="190"/>
      <c r="AD136" s="191"/>
      <c r="AE136" s="191"/>
      <c r="AF136" s="191"/>
      <c r="AG136" s="191"/>
      <c r="AH136" s="191"/>
      <c r="AI136" s="191"/>
      <c r="AJ136" s="199"/>
      <c r="AK136" s="50"/>
      <c r="AL136" s="50"/>
      <c r="AM136" s="109"/>
      <c r="AN136" s="110"/>
      <c r="AO136" s="110"/>
      <c r="AP136" s="110"/>
      <c r="AQ136" s="110"/>
      <c r="AR136" s="110"/>
      <c r="AS136" s="110"/>
      <c r="AT136" s="110"/>
      <c r="AU136" s="110"/>
      <c r="AV136" s="110"/>
      <c r="AW136" s="110"/>
      <c r="AX136" s="110"/>
      <c r="AY136" s="110"/>
      <c r="AZ136" s="110"/>
      <c r="BA136" s="110"/>
      <c r="BB136" s="111"/>
      <c r="BC136" s="40"/>
      <c r="BD136" s="35"/>
      <c r="BE136" s="82"/>
      <c r="BF136" s="83"/>
      <c r="BG136" s="83"/>
      <c r="BH136" s="83"/>
      <c r="BI136" s="82"/>
      <c r="BJ136" s="83"/>
      <c r="BK136" s="83"/>
      <c r="BL136" s="83"/>
      <c r="BM136" s="82"/>
      <c r="BN136" s="83"/>
      <c r="BO136" s="83"/>
      <c r="BP136" s="86"/>
      <c r="BQ136" s="38"/>
    </row>
    <row r="137" spans="3:69" ht="15.6" customHeight="1" x14ac:dyDescent="0.4">
      <c r="C137" s="33"/>
      <c r="D137" s="181"/>
      <c r="E137" s="181"/>
      <c r="F137" s="181"/>
      <c r="G137" s="181"/>
      <c r="H137" s="181"/>
      <c r="I137" s="181"/>
      <c r="J137" s="181"/>
      <c r="K137" s="181"/>
      <c r="L137" s="181"/>
      <c r="M137" s="181"/>
      <c r="N137" s="100"/>
      <c r="O137" s="101"/>
      <c r="P137" s="101"/>
      <c r="Q137" s="102"/>
      <c r="R137" s="39"/>
      <c r="S137" s="39"/>
      <c r="T137" s="39"/>
      <c r="U137" s="118" t="str">
        <f>IF([8]回答表!F17="下水道事業",IF([8]回答表!X43="○",[8]回答表!Y184,IF([8]回答表!AA43="○",[8]回答表!Y232,"")),"")</f>
        <v/>
      </c>
      <c r="V137" s="119"/>
      <c r="W137" s="119"/>
      <c r="X137" s="119"/>
      <c r="Y137" s="119"/>
      <c r="Z137" s="119"/>
      <c r="AA137" s="119"/>
      <c r="AB137" s="120"/>
      <c r="AC137" s="118" t="str">
        <f>IF([8]回答表!F17="下水道事業",IF([8]回答表!X43="○",[8]回答表!Y185,IF([8]回答表!AA43="○",[8]回答表!Y233,"")),"")</f>
        <v/>
      </c>
      <c r="AD137" s="119"/>
      <c r="AE137" s="119"/>
      <c r="AF137" s="119"/>
      <c r="AG137" s="119"/>
      <c r="AH137" s="119"/>
      <c r="AI137" s="119"/>
      <c r="AJ137" s="120"/>
      <c r="AK137" s="50"/>
      <c r="AL137" s="50"/>
      <c r="AM137" s="109"/>
      <c r="AN137" s="110"/>
      <c r="AO137" s="110"/>
      <c r="AP137" s="110"/>
      <c r="AQ137" s="110"/>
      <c r="AR137" s="110"/>
      <c r="AS137" s="110"/>
      <c r="AT137" s="110"/>
      <c r="AU137" s="110"/>
      <c r="AV137" s="110"/>
      <c r="AW137" s="110"/>
      <c r="AX137" s="110"/>
      <c r="AY137" s="110"/>
      <c r="AZ137" s="110"/>
      <c r="BA137" s="110"/>
      <c r="BB137" s="111"/>
      <c r="BC137" s="40"/>
      <c r="BD137" s="35"/>
      <c r="BE137" s="82"/>
      <c r="BF137" s="83"/>
      <c r="BG137" s="83"/>
      <c r="BH137" s="83"/>
      <c r="BI137" s="82"/>
      <c r="BJ137" s="83"/>
      <c r="BK137" s="83"/>
      <c r="BL137" s="83"/>
      <c r="BM137" s="82"/>
      <c r="BN137" s="83"/>
      <c r="BO137" s="83"/>
      <c r="BP137" s="86"/>
      <c r="BQ137" s="38"/>
    </row>
    <row r="138" spans="3:69" ht="15.6" customHeight="1" x14ac:dyDescent="0.4">
      <c r="C138" s="33"/>
      <c r="D138" s="181"/>
      <c r="E138" s="181"/>
      <c r="F138" s="181"/>
      <c r="G138" s="181"/>
      <c r="H138" s="181"/>
      <c r="I138" s="181"/>
      <c r="J138" s="181"/>
      <c r="K138" s="181"/>
      <c r="L138" s="181"/>
      <c r="M138" s="181"/>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109"/>
      <c r="AN138" s="110"/>
      <c r="AO138" s="110"/>
      <c r="AP138" s="110"/>
      <c r="AQ138" s="110"/>
      <c r="AR138" s="110"/>
      <c r="AS138" s="110"/>
      <c r="AT138" s="110"/>
      <c r="AU138" s="110"/>
      <c r="AV138" s="110"/>
      <c r="AW138" s="110"/>
      <c r="AX138" s="110"/>
      <c r="AY138" s="110"/>
      <c r="AZ138" s="110"/>
      <c r="BA138" s="110"/>
      <c r="BB138" s="111"/>
      <c r="BC138" s="40"/>
      <c r="BD138" s="35"/>
      <c r="BE138" s="82" t="str">
        <f>IF([8]回答表!F17="下水道事業",IF([8]回答表!X43="○",[8]回答表!E190,IF([8]回答表!AA43="○",[8]回答表!E238,"")),"")</f>
        <v/>
      </c>
      <c r="BF138" s="83"/>
      <c r="BG138" s="83"/>
      <c r="BH138" s="83"/>
      <c r="BI138" s="82" t="str">
        <f>IF([8]回答表!F17="下水道事業",IF([8]回答表!X43="○",[8]回答表!E191,IF([8]回答表!AA43="○",[8]回答表!E239,"")),"")</f>
        <v/>
      </c>
      <c r="BJ138" s="83"/>
      <c r="BK138" s="83"/>
      <c r="BL138" s="83"/>
      <c r="BM138" s="82" t="str">
        <f>IF([8]回答表!F17="下水道事業",IF([8]回答表!X43="○",[8]回答表!E192,IF([8]回答表!AA43="○",[8]回答表!E240,"")),"")</f>
        <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109"/>
      <c r="AN139" s="110"/>
      <c r="AO139" s="110"/>
      <c r="AP139" s="110"/>
      <c r="AQ139" s="110"/>
      <c r="AR139" s="110"/>
      <c r="AS139" s="110"/>
      <c r="AT139" s="110"/>
      <c r="AU139" s="110"/>
      <c r="AV139" s="110"/>
      <c r="AW139" s="110"/>
      <c r="AX139" s="110"/>
      <c r="AY139" s="110"/>
      <c r="AZ139" s="110"/>
      <c r="BA139" s="110"/>
      <c r="BB139" s="111"/>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88" t="s">
        <v>51</v>
      </c>
      <c r="V140" s="189"/>
      <c r="W140" s="189"/>
      <c r="X140" s="189"/>
      <c r="Y140" s="189"/>
      <c r="Z140" s="189"/>
      <c r="AA140" s="189"/>
      <c r="AB140" s="189"/>
      <c r="AC140" s="192" t="s">
        <v>52</v>
      </c>
      <c r="AD140" s="193"/>
      <c r="AE140" s="193"/>
      <c r="AF140" s="193"/>
      <c r="AG140" s="193"/>
      <c r="AH140" s="193"/>
      <c r="AI140" s="193"/>
      <c r="AJ140" s="194"/>
      <c r="AK140" s="50"/>
      <c r="AL140" s="50"/>
      <c r="AM140" s="109"/>
      <c r="AN140" s="110"/>
      <c r="AO140" s="110"/>
      <c r="AP140" s="110"/>
      <c r="AQ140" s="110"/>
      <c r="AR140" s="110"/>
      <c r="AS140" s="110"/>
      <c r="AT140" s="110"/>
      <c r="AU140" s="110"/>
      <c r="AV140" s="110"/>
      <c r="AW140" s="110"/>
      <c r="AX140" s="110"/>
      <c r="AY140" s="110"/>
      <c r="AZ140" s="110"/>
      <c r="BA140" s="110"/>
      <c r="BB140" s="111"/>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86" t="s">
        <v>26</v>
      </c>
      <c r="E141" s="181"/>
      <c r="F141" s="181"/>
      <c r="G141" s="181"/>
      <c r="H141" s="181"/>
      <c r="I141" s="181"/>
      <c r="J141" s="181"/>
      <c r="K141" s="181"/>
      <c r="L141" s="181"/>
      <c r="M141" s="182"/>
      <c r="N141" s="97" t="str">
        <f>IF([8]回答表!F17="下水道事業",IF([8]回答表!AA43="○","○",""),"")</f>
        <v/>
      </c>
      <c r="O141" s="98"/>
      <c r="P141" s="98"/>
      <c r="Q141" s="99"/>
      <c r="R141" s="39"/>
      <c r="S141" s="39"/>
      <c r="T141" s="39"/>
      <c r="U141" s="190"/>
      <c r="V141" s="191"/>
      <c r="W141" s="191"/>
      <c r="X141" s="191"/>
      <c r="Y141" s="191"/>
      <c r="Z141" s="191"/>
      <c r="AA141" s="191"/>
      <c r="AB141" s="191"/>
      <c r="AC141" s="195"/>
      <c r="AD141" s="196"/>
      <c r="AE141" s="196"/>
      <c r="AF141" s="196"/>
      <c r="AG141" s="196"/>
      <c r="AH141" s="196"/>
      <c r="AI141" s="196"/>
      <c r="AJ141" s="197"/>
      <c r="AK141" s="50"/>
      <c r="AL141" s="50"/>
      <c r="AM141" s="109"/>
      <c r="AN141" s="110"/>
      <c r="AO141" s="110"/>
      <c r="AP141" s="110"/>
      <c r="AQ141" s="110"/>
      <c r="AR141" s="110"/>
      <c r="AS141" s="110"/>
      <c r="AT141" s="110"/>
      <c r="AU141" s="110"/>
      <c r="AV141" s="110"/>
      <c r="AW141" s="110"/>
      <c r="AX141" s="110"/>
      <c r="AY141" s="110"/>
      <c r="AZ141" s="110"/>
      <c r="BA141" s="110"/>
      <c r="BB141" s="111"/>
      <c r="BC141" s="40"/>
      <c r="BD141" s="54"/>
      <c r="BE141" s="82"/>
      <c r="BF141" s="83"/>
      <c r="BG141" s="83"/>
      <c r="BH141" s="83"/>
      <c r="BI141" s="82"/>
      <c r="BJ141" s="83"/>
      <c r="BK141" s="83"/>
      <c r="BL141" s="83"/>
      <c r="BM141" s="82"/>
      <c r="BN141" s="83"/>
      <c r="BO141" s="83"/>
      <c r="BP141" s="86"/>
      <c r="BQ141" s="38"/>
    </row>
    <row r="142" spans="3:69" ht="15.6" customHeight="1" x14ac:dyDescent="0.4">
      <c r="C142" s="33"/>
      <c r="D142" s="181"/>
      <c r="E142" s="181"/>
      <c r="F142" s="181"/>
      <c r="G142" s="181"/>
      <c r="H142" s="181"/>
      <c r="I142" s="181"/>
      <c r="J142" s="181"/>
      <c r="K142" s="181"/>
      <c r="L142" s="181"/>
      <c r="M142" s="182"/>
      <c r="N142" s="100"/>
      <c r="O142" s="101"/>
      <c r="P142" s="101"/>
      <c r="Q142" s="102"/>
      <c r="R142" s="39"/>
      <c r="S142" s="39"/>
      <c r="T142" s="39"/>
      <c r="U142" s="118" t="str">
        <f>IF([8]回答表!F17="下水道事業",IF([8]回答表!X43="○",[8]回答表!Y186,IF([8]回答表!AA43="○",[8]回答表!Y234,"")),"")</f>
        <v/>
      </c>
      <c r="V142" s="119"/>
      <c r="W142" s="119"/>
      <c r="X142" s="119"/>
      <c r="Y142" s="119"/>
      <c r="Z142" s="119"/>
      <c r="AA142" s="119"/>
      <c r="AB142" s="120"/>
      <c r="AC142" s="118" t="str">
        <f>IF([8]回答表!F17="下水道事業",IF([8]回答表!X43="○",[8]回答表!Y187,IF([8]回答表!AA43="○",[8]回答表!Y235,"")),"")</f>
        <v/>
      </c>
      <c r="AD142" s="119"/>
      <c r="AE142" s="119"/>
      <c r="AF142" s="119"/>
      <c r="AG142" s="119"/>
      <c r="AH142" s="119"/>
      <c r="AI142" s="119"/>
      <c r="AJ142" s="120"/>
      <c r="AK142" s="50"/>
      <c r="AL142" s="50"/>
      <c r="AM142" s="109"/>
      <c r="AN142" s="110"/>
      <c r="AO142" s="110"/>
      <c r="AP142" s="110"/>
      <c r="AQ142" s="110"/>
      <c r="AR142" s="110"/>
      <c r="AS142" s="110"/>
      <c r="AT142" s="110"/>
      <c r="AU142" s="110"/>
      <c r="AV142" s="110"/>
      <c r="AW142" s="110"/>
      <c r="AX142" s="110"/>
      <c r="AY142" s="110"/>
      <c r="AZ142" s="110"/>
      <c r="BA142" s="110"/>
      <c r="BB142" s="111"/>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81"/>
      <c r="E143" s="181"/>
      <c r="F143" s="181"/>
      <c r="G143" s="181"/>
      <c r="H143" s="181"/>
      <c r="I143" s="181"/>
      <c r="J143" s="181"/>
      <c r="K143" s="181"/>
      <c r="L143" s="181"/>
      <c r="M143" s="182"/>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109"/>
      <c r="AN143" s="110"/>
      <c r="AO143" s="110"/>
      <c r="AP143" s="110"/>
      <c r="AQ143" s="110"/>
      <c r="AR143" s="110"/>
      <c r="AS143" s="110"/>
      <c r="AT143" s="110"/>
      <c r="AU143" s="110"/>
      <c r="AV143" s="110"/>
      <c r="AW143" s="110"/>
      <c r="AX143" s="110"/>
      <c r="AY143" s="110"/>
      <c r="AZ143" s="110"/>
      <c r="BA143" s="110"/>
      <c r="BB143" s="111"/>
      <c r="BC143" s="40"/>
      <c r="BD143" s="54"/>
      <c r="BE143" s="82"/>
      <c r="BF143" s="83"/>
      <c r="BG143" s="83"/>
      <c r="BH143" s="83"/>
      <c r="BI143" s="82"/>
      <c r="BJ143" s="83"/>
      <c r="BK143" s="83"/>
      <c r="BL143" s="83"/>
      <c r="BM143" s="82"/>
      <c r="BN143" s="83"/>
      <c r="BO143" s="83"/>
      <c r="BP143" s="86"/>
      <c r="BQ143" s="38"/>
    </row>
    <row r="144" spans="3:69" ht="15.6" customHeight="1" x14ac:dyDescent="0.4">
      <c r="C144" s="33"/>
      <c r="D144" s="181"/>
      <c r="E144" s="181"/>
      <c r="F144" s="181"/>
      <c r="G144" s="181"/>
      <c r="H144" s="181"/>
      <c r="I144" s="181"/>
      <c r="J144" s="181"/>
      <c r="K144" s="181"/>
      <c r="L144" s="181"/>
      <c r="M144" s="182"/>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112"/>
      <c r="AN144" s="113"/>
      <c r="AO144" s="113"/>
      <c r="AP144" s="113"/>
      <c r="AQ144" s="113"/>
      <c r="AR144" s="113"/>
      <c r="AS144" s="113"/>
      <c r="AT144" s="113"/>
      <c r="AU144" s="113"/>
      <c r="AV144" s="113"/>
      <c r="AW144" s="113"/>
      <c r="AX144" s="113"/>
      <c r="AY144" s="113"/>
      <c r="AZ144" s="113"/>
      <c r="BA144" s="113"/>
      <c r="BB144" s="114"/>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81" t="s">
        <v>34</v>
      </c>
      <c r="E147" s="181"/>
      <c r="F147" s="181"/>
      <c r="G147" s="181"/>
      <c r="H147" s="181"/>
      <c r="I147" s="181"/>
      <c r="J147" s="181"/>
      <c r="K147" s="181"/>
      <c r="L147" s="181"/>
      <c r="M147" s="182"/>
      <c r="N147" s="97" t="str">
        <f>IF([8]回答表!F17="下水道事業",IF([8]回答表!AD43="○","○",""),"")</f>
        <v/>
      </c>
      <c r="O147" s="98"/>
      <c r="P147" s="98"/>
      <c r="Q147" s="99"/>
      <c r="R147" s="39"/>
      <c r="S147" s="39"/>
      <c r="T147" s="39"/>
      <c r="U147" s="106" t="str">
        <f>IF([8]回答表!F17="下水道事業",IF([8]回答表!AD43="○",[8]回答表!B249,""),"")</f>
        <v/>
      </c>
      <c r="V147" s="107"/>
      <c r="W147" s="107"/>
      <c r="X147" s="107"/>
      <c r="Y147" s="107"/>
      <c r="Z147" s="107"/>
      <c r="AA147" s="107"/>
      <c r="AB147" s="107"/>
      <c r="AC147" s="107"/>
      <c r="AD147" s="107"/>
      <c r="AE147" s="107"/>
      <c r="AF147" s="107"/>
      <c r="AG147" s="107"/>
      <c r="AH147" s="107"/>
      <c r="AI147" s="107"/>
      <c r="AJ147" s="108"/>
      <c r="AK147" s="56"/>
      <c r="AL147" s="56"/>
      <c r="AM147" s="106" t="str">
        <f>IF([8]回答表!F17="下水道事業",IF([8]回答表!AD43="○",[8]回答表!B255,""),"")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81"/>
      <c r="E148" s="181"/>
      <c r="F148" s="181"/>
      <c r="G148" s="181"/>
      <c r="H148" s="181"/>
      <c r="I148" s="181"/>
      <c r="J148" s="181"/>
      <c r="K148" s="181"/>
      <c r="L148" s="181"/>
      <c r="M148" s="182"/>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81"/>
      <c r="E149" s="181"/>
      <c r="F149" s="181"/>
      <c r="G149" s="181"/>
      <c r="H149" s="181"/>
      <c r="I149" s="181"/>
      <c r="J149" s="181"/>
      <c r="K149" s="181"/>
      <c r="L149" s="181"/>
      <c r="M149" s="182"/>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81"/>
      <c r="E150" s="181"/>
      <c r="F150" s="181"/>
      <c r="G150" s="181"/>
      <c r="H150" s="181"/>
      <c r="I150" s="181"/>
      <c r="J150" s="181"/>
      <c r="K150" s="181"/>
      <c r="L150" s="181"/>
      <c r="M150" s="182"/>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62"/>
      <c r="AS153" s="162"/>
      <c r="AT153" s="162"/>
      <c r="AU153" s="162"/>
      <c r="AV153" s="162"/>
      <c r="AW153" s="162"/>
      <c r="AX153" s="162"/>
      <c r="AY153" s="162"/>
      <c r="AZ153" s="162"/>
      <c r="BA153" s="162"/>
      <c r="BB153" s="162"/>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87"/>
      <c r="AS154" s="187"/>
      <c r="AT154" s="187"/>
      <c r="AU154" s="187"/>
      <c r="AV154" s="187"/>
      <c r="AW154" s="187"/>
      <c r="AX154" s="187"/>
      <c r="AY154" s="187"/>
      <c r="AZ154" s="187"/>
      <c r="BA154" s="187"/>
      <c r="BB154" s="187"/>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81" t="s">
        <v>18</v>
      </c>
      <c r="E159" s="181"/>
      <c r="F159" s="181"/>
      <c r="G159" s="181"/>
      <c r="H159" s="181"/>
      <c r="I159" s="181"/>
      <c r="J159" s="181"/>
      <c r="K159" s="181"/>
      <c r="L159" s="181"/>
      <c r="M159" s="181"/>
      <c r="N159" s="97" t="str">
        <f>IF([8]回答表!BD17="○",IF([8]回答表!X43="○","○",""),"")</f>
        <v/>
      </c>
      <c r="O159" s="98"/>
      <c r="P159" s="98"/>
      <c r="Q159" s="99"/>
      <c r="R159" s="39"/>
      <c r="S159" s="39"/>
      <c r="T159" s="39"/>
      <c r="U159" s="106" t="str">
        <f>IF([8]回答表!BD17="○",IF([8]回答表!X43="○",[8]回答表!B154,IF([8]回答表!AA43="○",[8]回答表!B201,"")),"")</f>
        <v/>
      </c>
      <c r="V159" s="107"/>
      <c r="W159" s="107"/>
      <c r="X159" s="107"/>
      <c r="Y159" s="107"/>
      <c r="Z159" s="107"/>
      <c r="AA159" s="107"/>
      <c r="AB159" s="107"/>
      <c r="AC159" s="107"/>
      <c r="AD159" s="107"/>
      <c r="AE159" s="107"/>
      <c r="AF159" s="107"/>
      <c r="AG159" s="107"/>
      <c r="AH159" s="107"/>
      <c r="AI159" s="107"/>
      <c r="AJ159" s="108"/>
      <c r="AK159" s="50"/>
      <c r="AL159" s="50"/>
      <c r="AM159" s="115" t="str">
        <f>IF([8]回答表!BD17="○",IF([8]回答表!X43="○",[8]回答表!B190,IF([8]回答表!AA43="○",[8]回答表!B238,"")),"")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81"/>
      <c r="E160" s="181"/>
      <c r="F160" s="181"/>
      <c r="G160" s="181"/>
      <c r="H160" s="181"/>
      <c r="I160" s="181"/>
      <c r="J160" s="181"/>
      <c r="K160" s="181"/>
      <c r="L160" s="181"/>
      <c r="M160" s="181"/>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81"/>
      <c r="E161" s="181"/>
      <c r="F161" s="181"/>
      <c r="G161" s="181"/>
      <c r="H161" s="181"/>
      <c r="I161" s="181"/>
      <c r="J161" s="181"/>
      <c r="K161" s="181"/>
      <c r="L161" s="181"/>
      <c r="M161" s="181"/>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81"/>
      <c r="E162" s="181"/>
      <c r="F162" s="181"/>
      <c r="G162" s="181"/>
      <c r="H162" s="181"/>
      <c r="I162" s="181"/>
      <c r="J162" s="181"/>
      <c r="K162" s="181"/>
      <c r="L162" s="181"/>
      <c r="M162" s="181"/>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IF([8]回答表!BD17="○",IF([8]回答表!X43="○",[8]回答表!E190,IF([8]回答表!AA43="○",[8]回答表!E238,"")),"")</f>
        <v/>
      </c>
      <c r="AN162" s="83"/>
      <c r="AO162" s="83"/>
      <c r="AP162" s="83"/>
      <c r="AQ162" s="82" t="str">
        <f>IF([8]回答表!BD17="○",IF([8]回答表!X43="○",[8]回答表!E191,IF([8]回答表!AA43="○",[8]回答表!E239,"")),"")</f>
        <v/>
      </c>
      <c r="AR162" s="83"/>
      <c r="AS162" s="83"/>
      <c r="AT162" s="83"/>
      <c r="AU162" s="82" t="str">
        <f>IF([8]回答表!BD17="○",IF([8]回答表!X43="○",[8]回答表!E192,IF([8]回答表!AA43="○",[8]回答表!E240,"")),"")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86" t="s">
        <v>26</v>
      </c>
      <c r="E165" s="181"/>
      <c r="F165" s="181"/>
      <c r="G165" s="181"/>
      <c r="H165" s="181"/>
      <c r="I165" s="181"/>
      <c r="J165" s="181"/>
      <c r="K165" s="181"/>
      <c r="L165" s="181"/>
      <c r="M165" s="182"/>
      <c r="N165" s="97" t="str">
        <f>IF([8]回答表!BD17="○",IF([8]回答表!AA43="○","○",""),"")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81"/>
      <c r="E166" s="181"/>
      <c r="F166" s="181"/>
      <c r="G166" s="181"/>
      <c r="H166" s="181"/>
      <c r="I166" s="181"/>
      <c r="J166" s="181"/>
      <c r="K166" s="181"/>
      <c r="L166" s="181"/>
      <c r="M166" s="182"/>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81"/>
      <c r="E167" s="181"/>
      <c r="F167" s="181"/>
      <c r="G167" s="181"/>
      <c r="H167" s="181"/>
      <c r="I167" s="181"/>
      <c r="J167" s="181"/>
      <c r="K167" s="181"/>
      <c r="L167" s="181"/>
      <c r="M167" s="182"/>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81"/>
      <c r="E168" s="181"/>
      <c r="F168" s="181"/>
      <c r="G168" s="181"/>
      <c r="H168" s="181"/>
      <c r="I168" s="181"/>
      <c r="J168" s="181"/>
      <c r="K168" s="181"/>
      <c r="L168" s="181"/>
      <c r="M168" s="182"/>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81" t="s">
        <v>34</v>
      </c>
      <c r="E171" s="181"/>
      <c r="F171" s="181"/>
      <c r="G171" s="181"/>
      <c r="H171" s="181"/>
      <c r="I171" s="181"/>
      <c r="J171" s="181"/>
      <c r="K171" s="181"/>
      <c r="L171" s="181"/>
      <c r="M171" s="182"/>
      <c r="N171" s="97" t="str">
        <f>IF([8]回答表!BD17="○",IF([8]回答表!AD43="○","○",""),"")</f>
        <v/>
      </c>
      <c r="O171" s="98"/>
      <c r="P171" s="98"/>
      <c r="Q171" s="99"/>
      <c r="R171" s="39"/>
      <c r="S171" s="39"/>
      <c r="T171" s="39"/>
      <c r="U171" s="106" t="str">
        <f>IF([8]回答表!BD17="○",IF([8]回答表!AD43="○",[8]回答表!B249,""),"")</f>
        <v/>
      </c>
      <c r="V171" s="107"/>
      <c r="W171" s="107"/>
      <c r="X171" s="107"/>
      <c r="Y171" s="107"/>
      <c r="Z171" s="107"/>
      <c r="AA171" s="107"/>
      <c r="AB171" s="107"/>
      <c r="AC171" s="107"/>
      <c r="AD171" s="107"/>
      <c r="AE171" s="107"/>
      <c r="AF171" s="107"/>
      <c r="AG171" s="107"/>
      <c r="AH171" s="107"/>
      <c r="AI171" s="107"/>
      <c r="AJ171" s="108"/>
      <c r="AK171" s="56"/>
      <c r="AL171" s="56"/>
      <c r="AM171" s="106" t="str">
        <f>IF([8]回答表!BD17="○",IF([8]回答表!AD43="○",[8]回答表!B255,""),"")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81"/>
      <c r="E172" s="181"/>
      <c r="F172" s="181"/>
      <c r="G172" s="181"/>
      <c r="H172" s="181"/>
      <c r="I172" s="181"/>
      <c r="J172" s="181"/>
      <c r="K172" s="181"/>
      <c r="L172" s="181"/>
      <c r="M172" s="182"/>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81"/>
      <c r="E173" s="181"/>
      <c r="F173" s="181"/>
      <c r="G173" s="181"/>
      <c r="H173" s="181"/>
      <c r="I173" s="181"/>
      <c r="J173" s="181"/>
      <c r="K173" s="181"/>
      <c r="L173" s="181"/>
      <c r="M173" s="182"/>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81"/>
      <c r="E174" s="181"/>
      <c r="F174" s="181"/>
      <c r="G174" s="181"/>
      <c r="H174" s="181"/>
      <c r="I174" s="181"/>
      <c r="J174" s="181"/>
      <c r="K174" s="181"/>
      <c r="L174" s="181"/>
      <c r="M174" s="182"/>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62"/>
      <c r="AS177" s="162"/>
      <c r="AT177" s="162"/>
      <c r="AU177" s="162"/>
      <c r="AV177" s="162"/>
      <c r="AW177" s="162"/>
      <c r="AX177" s="162"/>
      <c r="AY177" s="162"/>
      <c r="AZ177" s="162"/>
      <c r="BA177" s="162"/>
      <c r="BB177" s="162"/>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87"/>
      <c r="AS178" s="187"/>
      <c r="AT178" s="187"/>
      <c r="AU178" s="187"/>
      <c r="AV178" s="187"/>
      <c r="AW178" s="187"/>
      <c r="AX178" s="187"/>
      <c r="AY178" s="187"/>
      <c r="AZ178" s="187"/>
      <c r="BA178" s="187"/>
      <c r="BB178" s="187"/>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81" t="s">
        <v>18</v>
      </c>
      <c r="E183" s="181"/>
      <c r="F183" s="181"/>
      <c r="G183" s="181"/>
      <c r="H183" s="181"/>
      <c r="I183" s="181"/>
      <c r="J183" s="181"/>
      <c r="K183" s="181"/>
      <c r="L183" s="181"/>
      <c r="M183" s="181"/>
      <c r="N183" s="97" t="str">
        <f>IF([8]回答表!X44="○","○","")</f>
        <v/>
      </c>
      <c r="O183" s="98"/>
      <c r="P183" s="98"/>
      <c r="Q183" s="99"/>
      <c r="R183" s="39"/>
      <c r="S183" s="39"/>
      <c r="T183" s="39"/>
      <c r="U183" s="106" t="str">
        <f>IF([8]回答表!X44="○",[8]回答表!B266,IF([8]回答表!AA44="○",[8]回答表!B283,""))</f>
        <v/>
      </c>
      <c r="V183" s="107"/>
      <c r="W183" s="107"/>
      <c r="X183" s="107"/>
      <c r="Y183" s="107"/>
      <c r="Z183" s="107"/>
      <c r="AA183" s="107"/>
      <c r="AB183" s="107"/>
      <c r="AC183" s="107"/>
      <c r="AD183" s="107"/>
      <c r="AE183" s="107"/>
      <c r="AF183" s="107"/>
      <c r="AG183" s="107"/>
      <c r="AH183" s="107"/>
      <c r="AI183" s="107"/>
      <c r="AJ183" s="108"/>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IF([8]回答表!X44="○",[8]回答表!U272,IF([8]回答表!AA44="○",[8]回答表!U289,""))</f>
        <v/>
      </c>
      <c r="BF183" s="116"/>
      <c r="BG183" s="116"/>
      <c r="BH183" s="116"/>
      <c r="BI183" s="115"/>
      <c r="BJ183" s="116"/>
      <c r="BK183" s="116"/>
      <c r="BL183" s="116"/>
      <c r="BM183" s="115"/>
      <c r="BN183" s="116"/>
      <c r="BO183" s="116"/>
      <c r="BP183" s="117"/>
      <c r="BQ183" s="38"/>
      <c r="BR183" s="25"/>
    </row>
    <row r="184" spans="3:70" ht="15.6" customHeight="1" x14ac:dyDescent="0.4">
      <c r="C184" s="33"/>
      <c r="D184" s="181"/>
      <c r="E184" s="181"/>
      <c r="F184" s="181"/>
      <c r="G184" s="181"/>
      <c r="H184" s="181"/>
      <c r="I184" s="181"/>
      <c r="J184" s="181"/>
      <c r="K184" s="181"/>
      <c r="L184" s="181"/>
      <c r="M184" s="181"/>
      <c r="N184" s="100"/>
      <c r="O184" s="101"/>
      <c r="P184" s="101"/>
      <c r="Q184" s="102"/>
      <c r="R184" s="39"/>
      <c r="S184" s="39"/>
      <c r="T184" s="39"/>
      <c r="U184" s="109"/>
      <c r="V184" s="110"/>
      <c r="W184" s="110"/>
      <c r="X184" s="110"/>
      <c r="Y184" s="110"/>
      <c r="Z184" s="110"/>
      <c r="AA184" s="110"/>
      <c r="AB184" s="110"/>
      <c r="AC184" s="110"/>
      <c r="AD184" s="110"/>
      <c r="AE184" s="110"/>
      <c r="AF184" s="110"/>
      <c r="AG184" s="110"/>
      <c r="AH184" s="110"/>
      <c r="AI184" s="110"/>
      <c r="AJ184" s="111"/>
      <c r="AK184" s="50"/>
      <c r="AL184" s="50"/>
      <c r="AM184" s="183"/>
      <c r="AN184" s="184"/>
      <c r="AO184" s="184"/>
      <c r="AP184" s="184"/>
      <c r="AQ184" s="184"/>
      <c r="AR184" s="184"/>
      <c r="AS184" s="184"/>
      <c r="AT184" s="185"/>
      <c r="AU184" s="183"/>
      <c r="AV184" s="184"/>
      <c r="AW184" s="184"/>
      <c r="AX184" s="184"/>
      <c r="AY184" s="184"/>
      <c r="AZ184" s="184"/>
      <c r="BA184" s="184"/>
      <c r="BB184" s="185"/>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81"/>
      <c r="E185" s="181"/>
      <c r="F185" s="181"/>
      <c r="G185" s="181"/>
      <c r="H185" s="181"/>
      <c r="I185" s="181"/>
      <c r="J185" s="181"/>
      <c r="K185" s="181"/>
      <c r="L185" s="181"/>
      <c r="M185" s="181"/>
      <c r="N185" s="100"/>
      <c r="O185" s="101"/>
      <c r="P185" s="101"/>
      <c r="Q185" s="102"/>
      <c r="R185" s="39"/>
      <c r="S185" s="39"/>
      <c r="T185" s="39"/>
      <c r="U185" s="109"/>
      <c r="V185" s="110"/>
      <c r="W185" s="110"/>
      <c r="X185" s="110"/>
      <c r="Y185" s="110"/>
      <c r="Z185" s="110"/>
      <c r="AA185" s="110"/>
      <c r="AB185" s="110"/>
      <c r="AC185" s="110"/>
      <c r="AD185" s="110"/>
      <c r="AE185" s="110"/>
      <c r="AF185" s="110"/>
      <c r="AG185" s="110"/>
      <c r="AH185" s="110"/>
      <c r="AI185" s="110"/>
      <c r="AJ185" s="111"/>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81"/>
      <c r="E186" s="181"/>
      <c r="F186" s="181"/>
      <c r="G186" s="181"/>
      <c r="H186" s="181"/>
      <c r="I186" s="181"/>
      <c r="J186" s="181"/>
      <c r="K186" s="181"/>
      <c r="L186" s="181"/>
      <c r="M186" s="181"/>
      <c r="N186" s="103"/>
      <c r="O186" s="104"/>
      <c r="P186" s="104"/>
      <c r="Q186" s="105"/>
      <c r="R186" s="39"/>
      <c r="S186" s="39"/>
      <c r="T186" s="39"/>
      <c r="U186" s="109"/>
      <c r="V186" s="110"/>
      <c r="W186" s="110"/>
      <c r="X186" s="110"/>
      <c r="Y186" s="110"/>
      <c r="Z186" s="110"/>
      <c r="AA186" s="110"/>
      <c r="AB186" s="110"/>
      <c r="AC186" s="110"/>
      <c r="AD186" s="110"/>
      <c r="AE186" s="110"/>
      <c r="AF186" s="110"/>
      <c r="AG186" s="110"/>
      <c r="AH186" s="110"/>
      <c r="AI186" s="110"/>
      <c r="AJ186" s="111"/>
      <c r="AK186" s="50"/>
      <c r="AL186" s="50"/>
      <c r="AM186" s="118" t="str">
        <f>IF([8]回答表!X44="○",[8]回答表!G272,IF([8]回答表!AA44="○",[8]回答表!G289,""))</f>
        <v/>
      </c>
      <c r="AN186" s="119"/>
      <c r="AO186" s="119"/>
      <c r="AP186" s="119"/>
      <c r="AQ186" s="119"/>
      <c r="AR186" s="119"/>
      <c r="AS186" s="119"/>
      <c r="AT186" s="120"/>
      <c r="AU186" s="118" t="str">
        <f>IF([8]回答表!X44="○",[8]回答表!G273,IF([8]回答表!AA44="○",[8]回答表!G290,""))</f>
        <v/>
      </c>
      <c r="AV186" s="119"/>
      <c r="AW186" s="119"/>
      <c r="AX186" s="119"/>
      <c r="AY186" s="119"/>
      <c r="AZ186" s="119"/>
      <c r="BA186" s="119"/>
      <c r="BB186" s="120"/>
      <c r="BC186" s="40"/>
      <c r="BD186" s="35"/>
      <c r="BE186" s="82" t="str">
        <f>IF([8]回答表!X44="○",[8]回答表!X272,IF([8]回答表!AA44="○",[8]回答表!X289,""))</f>
        <v/>
      </c>
      <c r="BF186" s="83"/>
      <c r="BG186" s="83"/>
      <c r="BH186" s="83"/>
      <c r="BI186" s="82" t="str">
        <f>IF([8]回答表!X44="○",[8]回答表!X273,IF([8]回答表!AA44="○",[8]回答表!X290,""))</f>
        <v/>
      </c>
      <c r="BJ186" s="83"/>
      <c r="BK186" s="83"/>
      <c r="BL186" s="86"/>
      <c r="BM186" s="82" t="str">
        <f>IF([8]回答表!X44="○",[8]回答表!X274,IF([8]回答表!AA44="○",[8]回答表!X291,""))</f>
        <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09"/>
      <c r="V187" s="110"/>
      <c r="W187" s="110"/>
      <c r="X187" s="110"/>
      <c r="Y187" s="110"/>
      <c r="Z187" s="110"/>
      <c r="AA187" s="110"/>
      <c r="AB187" s="110"/>
      <c r="AC187" s="110"/>
      <c r="AD187" s="110"/>
      <c r="AE187" s="110"/>
      <c r="AF187" s="110"/>
      <c r="AG187" s="110"/>
      <c r="AH187" s="110"/>
      <c r="AI187" s="110"/>
      <c r="AJ187" s="111"/>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09"/>
      <c r="V188" s="110"/>
      <c r="W188" s="110"/>
      <c r="X188" s="110"/>
      <c r="Y188" s="110"/>
      <c r="Z188" s="110"/>
      <c r="AA188" s="110"/>
      <c r="AB188" s="110"/>
      <c r="AC188" s="110"/>
      <c r="AD188" s="110"/>
      <c r="AE188" s="110"/>
      <c r="AF188" s="110"/>
      <c r="AG188" s="110"/>
      <c r="AH188" s="110"/>
      <c r="AI188" s="110"/>
      <c r="AJ188" s="111"/>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86" t="s">
        <v>26</v>
      </c>
      <c r="E189" s="181"/>
      <c r="F189" s="181"/>
      <c r="G189" s="181"/>
      <c r="H189" s="181"/>
      <c r="I189" s="181"/>
      <c r="J189" s="181"/>
      <c r="K189" s="181"/>
      <c r="L189" s="181"/>
      <c r="M189" s="182"/>
      <c r="N189" s="97" t="str">
        <f>IF([8]回答表!AA44="○","○","")</f>
        <v/>
      </c>
      <c r="O189" s="98"/>
      <c r="P189" s="98"/>
      <c r="Q189" s="99"/>
      <c r="R189" s="39"/>
      <c r="S189" s="39"/>
      <c r="T189" s="39"/>
      <c r="U189" s="109"/>
      <c r="V189" s="110"/>
      <c r="W189" s="110"/>
      <c r="X189" s="110"/>
      <c r="Y189" s="110"/>
      <c r="Z189" s="110"/>
      <c r="AA189" s="110"/>
      <c r="AB189" s="110"/>
      <c r="AC189" s="110"/>
      <c r="AD189" s="110"/>
      <c r="AE189" s="110"/>
      <c r="AF189" s="110"/>
      <c r="AG189" s="110"/>
      <c r="AH189" s="110"/>
      <c r="AI189" s="110"/>
      <c r="AJ189" s="111"/>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81"/>
      <c r="E190" s="181"/>
      <c r="F190" s="181"/>
      <c r="G190" s="181"/>
      <c r="H190" s="181"/>
      <c r="I190" s="181"/>
      <c r="J190" s="181"/>
      <c r="K190" s="181"/>
      <c r="L190" s="181"/>
      <c r="M190" s="182"/>
      <c r="N190" s="100"/>
      <c r="O190" s="101"/>
      <c r="P190" s="101"/>
      <c r="Q190" s="102"/>
      <c r="R190" s="39"/>
      <c r="S190" s="39"/>
      <c r="T190" s="39"/>
      <c r="U190" s="109"/>
      <c r="V190" s="110"/>
      <c r="W190" s="110"/>
      <c r="X190" s="110"/>
      <c r="Y190" s="110"/>
      <c r="Z190" s="110"/>
      <c r="AA190" s="110"/>
      <c r="AB190" s="110"/>
      <c r="AC190" s="110"/>
      <c r="AD190" s="110"/>
      <c r="AE190" s="110"/>
      <c r="AF190" s="110"/>
      <c r="AG190" s="110"/>
      <c r="AH190" s="110"/>
      <c r="AI190" s="110"/>
      <c r="AJ190" s="111"/>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81"/>
      <c r="E191" s="181"/>
      <c r="F191" s="181"/>
      <c r="G191" s="181"/>
      <c r="H191" s="181"/>
      <c r="I191" s="181"/>
      <c r="J191" s="181"/>
      <c r="K191" s="181"/>
      <c r="L191" s="181"/>
      <c r="M191" s="182"/>
      <c r="N191" s="100"/>
      <c r="O191" s="101"/>
      <c r="P191" s="101"/>
      <c r="Q191" s="102"/>
      <c r="R191" s="39"/>
      <c r="S191" s="39"/>
      <c r="T191" s="39"/>
      <c r="U191" s="109"/>
      <c r="V191" s="110"/>
      <c r="W191" s="110"/>
      <c r="X191" s="110"/>
      <c r="Y191" s="110"/>
      <c r="Z191" s="110"/>
      <c r="AA191" s="110"/>
      <c r="AB191" s="110"/>
      <c r="AC191" s="110"/>
      <c r="AD191" s="110"/>
      <c r="AE191" s="110"/>
      <c r="AF191" s="110"/>
      <c r="AG191" s="110"/>
      <c r="AH191" s="110"/>
      <c r="AI191" s="110"/>
      <c r="AJ191" s="111"/>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81"/>
      <c r="E192" s="181"/>
      <c r="F192" s="181"/>
      <c r="G192" s="181"/>
      <c r="H192" s="181"/>
      <c r="I192" s="181"/>
      <c r="J192" s="181"/>
      <c r="K192" s="181"/>
      <c r="L192" s="181"/>
      <c r="M192" s="182"/>
      <c r="N192" s="103"/>
      <c r="O192" s="104"/>
      <c r="P192" s="104"/>
      <c r="Q192" s="105"/>
      <c r="R192" s="39"/>
      <c r="S192" s="39"/>
      <c r="T192" s="39"/>
      <c r="U192" s="112"/>
      <c r="V192" s="113"/>
      <c r="W192" s="113"/>
      <c r="X192" s="113"/>
      <c r="Y192" s="113"/>
      <c r="Z192" s="113"/>
      <c r="AA192" s="113"/>
      <c r="AB192" s="113"/>
      <c r="AC192" s="113"/>
      <c r="AD192" s="113"/>
      <c r="AE192" s="113"/>
      <c r="AF192" s="113"/>
      <c r="AG192" s="113"/>
      <c r="AH192" s="113"/>
      <c r="AI192" s="113"/>
      <c r="AJ192" s="114"/>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81" t="s">
        <v>34</v>
      </c>
      <c r="E195" s="181"/>
      <c r="F195" s="181"/>
      <c r="G195" s="181"/>
      <c r="H195" s="181"/>
      <c r="I195" s="181"/>
      <c r="J195" s="181"/>
      <c r="K195" s="181"/>
      <c r="L195" s="181"/>
      <c r="M195" s="182"/>
      <c r="N195" s="97" t="str">
        <f>IF([8]回答表!AD44="○","○","")</f>
        <v/>
      </c>
      <c r="O195" s="98"/>
      <c r="P195" s="98"/>
      <c r="Q195" s="99"/>
      <c r="R195" s="39"/>
      <c r="S195" s="39"/>
      <c r="T195" s="39"/>
      <c r="U195" s="106" t="str">
        <f>IF([8]回答表!AD44="○",[8]回答表!B296,"")</f>
        <v/>
      </c>
      <c r="V195" s="107"/>
      <c r="W195" s="107"/>
      <c r="X195" s="107"/>
      <c r="Y195" s="107"/>
      <c r="Z195" s="107"/>
      <c r="AA195" s="107"/>
      <c r="AB195" s="107"/>
      <c r="AC195" s="107"/>
      <c r="AD195" s="107"/>
      <c r="AE195" s="107"/>
      <c r="AF195" s="107"/>
      <c r="AG195" s="107"/>
      <c r="AH195" s="107"/>
      <c r="AI195" s="107"/>
      <c r="AJ195" s="108"/>
      <c r="AK195" s="61"/>
      <c r="AL195" s="61"/>
      <c r="AM195" s="106" t="str">
        <f>IF([8]回答表!AD44="○",[8]回答表!B302,"")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81"/>
      <c r="E196" s="181"/>
      <c r="F196" s="181"/>
      <c r="G196" s="181"/>
      <c r="H196" s="181"/>
      <c r="I196" s="181"/>
      <c r="J196" s="181"/>
      <c r="K196" s="181"/>
      <c r="L196" s="181"/>
      <c r="M196" s="182"/>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81"/>
      <c r="E197" s="181"/>
      <c r="F197" s="181"/>
      <c r="G197" s="181"/>
      <c r="H197" s="181"/>
      <c r="I197" s="181"/>
      <c r="J197" s="181"/>
      <c r="K197" s="181"/>
      <c r="L197" s="181"/>
      <c r="M197" s="182"/>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81"/>
      <c r="E198" s="181"/>
      <c r="F198" s="181"/>
      <c r="G198" s="181"/>
      <c r="H198" s="181"/>
      <c r="I198" s="181"/>
      <c r="J198" s="181"/>
      <c r="K198" s="181"/>
      <c r="L198" s="181"/>
      <c r="M198" s="182"/>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62"/>
      <c r="AS201" s="162"/>
      <c r="AT201" s="162"/>
      <c r="AU201" s="162"/>
      <c r="AV201" s="162"/>
      <c r="AW201" s="162"/>
      <c r="AX201" s="162"/>
      <c r="AY201" s="162"/>
      <c r="AZ201" s="162"/>
      <c r="BA201" s="162"/>
      <c r="BB201" s="162"/>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63"/>
      <c r="AS202" s="163"/>
      <c r="AT202" s="163"/>
      <c r="AU202" s="163"/>
      <c r="AV202" s="163"/>
      <c r="AW202" s="163"/>
      <c r="AX202" s="163"/>
      <c r="AY202" s="163"/>
      <c r="AZ202" s="163"/>
      <c r="BA202" s="163"/>
      <c r="BB202" s="163"/>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IF([8]回答表!X45="○","○","")</f>
        <v/>
      </c>
      <c r="O207" s="98"/>
      <c r="P207" s="98"/>
      <c r="Q207" s="99"/>
      <c r="R207" s="39"/>
      <c r="S207" s="39"/>
      <c r="T207" s="39"/>
      <c r="U207" s="106" t="str">
        <f>IF([8]回答表!X45="○",[8]回答表!B314,IF([8]回答表!AA45="○",[8]回答表!B337,""))</f>
        <v/>
      </c>
      <c r="V207" s="107"/>
      <c r="W207" s="107"/>
      <c r="X207" s="107"/>
      <c r="Y207" s="107"/>
      <c r="Z207" s="107"/>
      <c r="AA207" s="107"/>
      <c r="AB207" s="107"/>
      <c r="AC207" s="107"/>
      <c r="AD207" s="107"/>
      <c r="AE207" s="107"/>
      <c r="AF207" s="107"/>
      <c r="AG207" s="107"/>
      <c r="AH207" s="107"/>
      <c r="AI207" s="107"/>
      <c r="AJ207" s="108"/>
      <c r="AK207" s="50"/>
      <c r="AL207" s="50"/>
      <c r="AM207" s="50"/>
      <c r="AN207" s="106" t="str">
        <f>IF([8]回答表!X45="○",[8]回答表!B320,"")</f>
        <v/>
      </c>
      <c r="AO207" s="173"/>
      <c r="AP207" s="173"/>
      <c r="AQ207" s="173"/>
      <c r="AR207" s="173"/>
      <c r="AS207" s="173"/>
      <c r="AT207" s="173"/>
      <c r="AU207" s="173"/>
      <c r="AV207" s="173"/>
      <c r="AW207" s="173"/>
      <c r="AX207" s="173"/>
      <c r="AY207" s="173"/>
      <c r="AZ207" s="173"/>
      <c r="BA207" s="173"/>
      <c r="BB207" s="174"/>
      <c r="BC207" s="40"/>
      <c r="BD207" s="35"/>
      <c r="BE207" s="115" t="str">
        <f>IF([8]回答表!X45="○",[8]回答表!B326,IF([8]回答表!AA45="○",[8]回答表!B343,""))</f>
        <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75"/>
      <c r="AO208" s="176"/>
      <c r="AP208" s="176"/>
      <c r="AQ208" s="176"/>
      <c r="AR208" s="176"/>
      <c r="AS208" s="176"/>
      <c r="AT208" s="176"/>
      <c r="AU208" s="176"/>
      <c r="AV208" s="176"/>
      <c r="AW208" s="176"/>
      <c r="AX208" s="176"/>
      <c r="AY208" s="176"/>
      <c r="AZ208" s="176"/>
      <c r="BA208" s="176"/>
      <c r="BB208" s="177"/>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75"/>
      <c r="AO209" s="176"/>
      <c r="AP209" s="176"/>
      <c r="AQ209" s="176"/>
      <c r="AR209" s="176"/>
      <c r="AS209" s="176"/>
      <c r="AT209" s="176"/>
      <c r="AU209" s="176"/>
      <c r="AV209" s="176"/>
      <c r="AW209" s="176"/>
      <c r="AX209" s="176"/>
      <c r="AY209" s="176"/>
      <c r="AZ209" s="176"/>
      <c r="BA209" s="176"/>
      <c r="BB209" s="177"/>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75"/>
      <c r="AO210" s="176"/>
      <c r="AP210" s="176"/>
      <c r="AQ210" s="176"/>
      <c r="AR210" s="176"/>
      <c r="AS210" s="176"/>
      <c r="AT210" s="176"/>
      <c r="AU210" s="176"/>
      <c r="AV210" s="176"/>
      <c r="AW210" s="176"/>
      <c r="AX210" s="176"/>
      <c r="AY210" s="176"/>
      <c r="AZ210" s="176"/>
      <c r="BA210" s="176"/>
      <c r="BB210" s="177"/>
      <c r="BC210" s="40"/>
      <c r="BD210" s="35"/>
      <c r="BE210" s="82" t="str">
        <f>IF([8]回答表!X45="○",[8]回答表!E326,IF([8]回答表!AA45="○",[8]回答表!E343,""))</f>
        <v/>
      </c>
      <c r="BF210" s="83"/>
      <c r="BG210" s="83"/>
      <c r="BH210" s="83"/>
      <c r="BI210" s="82" t="str">
        <f>IF([8]回答表!X45="○",[8]回答表!E327,IF([8]回答表!AA45="○",[8]回答表!E344,""))</f>
        <v/>
      </c>
      <c r="BJ210" s="83"/>
      <c r="BK210" s="83"/>
      <c r="BL210" s="86"/>
      <c r="BM210" s="82" t="str">
        <f>IF([8]回答表!X45="○",[8]回答表!E328,IF([8]回答表!AA45="○",[8]回答表!E345,""))</f>
        <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75"/>
      <c r="AO211" s="176"/>
      <c r="AP211" s="176"/>
      <c r="AQ211" s="176"/>
      <c r="AR211" s="176"/>
      <c r="AS211" s="176"/>
      <c r="AT211" s="176"/>
      <c r="AU211" s="176"/>
      <c r="AV211" s="176"/>
      <c r="AW211" s="176"/>
      <c r="AX211" s="176"/>
      <c r="AY211" s="176"/>
      <c r="AZ211" s="176"/>
      <c r="BA211" s="176"/>
      <c r="BB211" s="177"/>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75"/>
      <c r="AO212" s="176"/>
      <c r="AP212" s="176"/>
      <c r="AQ212" s="176"/>
      <c r="AR212" s="176"/>
      <c r="AS212" s="176"/>
      <c r="AT212" s="176"/>
      <c r="AU212" s="176"/>
      <c r="AV212" s="176"/>
      <c r="AW212" s="176"/>
      <c r="AX212" s="176"/>
      <c r="AY212" s="176"/>
      <c r="AZ212" s="176"/>
      <c r="BA212" s="176"/>
      <c r="BB212" s="177"/>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IF([8]回答表!AA45="○","○","")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75"/>
      <c r="AO213" s="176"/>
      <c r="AP213" s="176"/>
      <c r="AQ213" s="176"/>
      <c r="AR213" s="176"/>
      <c r="AS213" s="176"/>
      <c r="AT213" s="176"/>
      <c r="AU213" s="176"/>
      <c r="AV213" s="176"/>
      <c r="AW213" s="176"/>
      <c r="AX213" s="176"/>
      <c r="AY213" s="176"/>
      <c r="AZ213" s="176"/>
      <c r="BA213" s="176"/>
      <c r="BB213" s="177"/>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75"/>
      <c r="AO214" s="176"/>
      <c r="AP214" s="176"/>
      <c r="AQ214" s="176"/>
      <c r="AR214" s="176"/>
      <c r="AS214" s="176"/>
      <c r="AT214" s="176"/>
      <c r="AU214" s="176"/>
      <c r="AV214" s="176"/>
      <c r="AW214" s="176"/>
      <c r="AX214" s="176"/>
      <c r="AY214" s="176"/>
      <c r="AZ214" s="176"/>
      <c r="BA214" s="176"/>
      <c r="BB214" s="177"/>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75"/>
      <c r="AO215" s="176"/>
      <c r="AP215" s="176"/>
      <c r="AQ215" s="176"/>
      <c r="AR215" s="176"/>
      <c r="AS215" s="176"/>
      <c r="AT215" s="176"/>
      <c r="AU215" s="176"/>
      <c r="AV215" s="176"/>
      <c r="AW215" s="176"/>
      <c r="AX215" s="176"/>
      <c r="AY215" s="176"/>
      <c r="AZ215" s="176"/>
      <c r="BA215" s="176"/>
      <c r="BB215" s="177"/>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78"/>
      <c r="AO216" s="179"/>
      <c r="AP216" s="179"/>
      <c r="AQ216" s="179"/>
      <c r="AR216" s="179"/>
      <c r="AS216" s="179"/>
      <c r="AT216" s="179"/>
      <c r="AU216" s="179"/>
      <c r="AV216" s="179"/>
      <c r="AW216" s="179"/>
      <c r="AX216" s="179"/>
      <c r="AY216" s="179"/>
      <c r="AZ216" s="179"/>
      <c r="BA216" s="179"/>
      <c r="BB216" s="180"/>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IF([8]回答表!AD45="○","○","")</f>
        <v/>
      </c>
      <c r="O219" s="98"/>
      <c r="P219" s="98"/>
      <c r="Q219" s="99"/>
      <c r="R219" s="39"/>
      <c r="S219" s="39"/>
      <c r="T219" s="39"/>
      <c r="U219" s="106" t="str">
        <f>IF([8]回答表!AD45="○",[8]回答表!B350,"")</f>
        <v/>
      </c>
      <c r="V219" s="107"/>
      <c r="W219" s="107"/>
      <c r="X219" s="107"/>
      <c r="Y219" s="107"/>
      <c r="Z219" s="107"/>
      <c r="AA219" s="107"/>
      <c r="AB219" s="107"/>
      <c r="AC219" s="107"/>
      <c r="AD219" s="107"/>
      <c r="AE219" s="107"/>
      <c r="AF219" s="107"/>
      <c r="AG219" s="107"/>
      <c r="AH219" s="107"/>
      <c r="AI219" s="107"/>
      <c r="AJ219" s="108"/>
      <c r="AK219" s="61"/>
      <c r="AL219" s="61"/>
      <c r="AM219" s="106" t="str">
        <f>IF([8]回答表!AD45="○",[8]回答表!B356,"")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62"/>
      <c r="AS225" s="162"/>
      <c r="AT225" s="162"/>
      <c r="AU225" s="162"/>
      <c r="AV225" s="162"/>
      <c r="AW225" s="162"/>
      <c r="AX225" s="162"/>
      <c r="AY225" s="162"/>
      <c r="AZ225" s="162"/>
      <c r="BA225" s="162"/>
      <c r="BB225" s="162"/>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63"/>
      <c r="AS226" s="163"/>
      <c r="AT226" s="163"/>
      <c r="AU226" s="163"/>
      <c r="AV226" s="163"/>
      <c r="AW226" s="163"/>
      <c r="AX226" s="163"/>
      <c r="AY226" s="163"/>
      <c r="AZ226" s="163"/>
      <c r="BA226" s="163"/>
      <c r="BB226" s="163"/>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IF([8]回答表!X46="○","○","")</f>
        <v/>
      </c>
      <c r="O231" s="98"/>
      <c r="P231" s="98"/>
      <c r="Q231" s="99"/>
      <c r="R231" s="39"/>
      <c r="S231" s="39"/>
      <c r="T231" s="39"/>
      <c r="U231" s="106" t="str">
        <f>IF([8]回答表!X46="○",[8]回答表!B368,IF([8]回答表!AA46="○",[8]回答表!B382,""))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IF([8]回答表!X46="○",[8]回答表!BC375,IF([8]回答表!AA46="○",[8]回答表!BC389,""))</f>
        <v/>
      </c>
      <c r="AR231" s="150"/>
      <c r="AS231" s="150"/>
      <c r="AT231" s="150"/>
      <c r="AU231" s="164" t="s">
        <v>63</v>
      </c>
      <c r="AV231" s="165"/>
      <c r="AW231" s="165"/>
      <c r="AX231" s="166"/>
      <c r="AY231" s="150" t="str">
        <f>IF([8]回答表!X46="○",[8]回答表!BC380,IF([8]回答表!AA46="○",[8]回答表!BC394,""))</f>
        <v/>
      </c>
      <c r="AZ231" s="150"/>
      <c r="BA231" s="150"/>
      <c r="BB231" s="150"/>
      <c r="BC231" s="40"/>
      <c r="BD231" s="35"/>
      <c r="BE231" s="115" t="str">
        <f>IF([8]回答表!X46="○",[8]回答表!S374,IF([8]回答表!AA46="○",[8]回答表!S388,""))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67"/>
      <c r="AV232" s="168"/>
      <c r="AW232" s="168"/>
      <c r="AX232" s="169"/>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IF([8]回答表!X46="○",[8]回答表!BC376,IF([8]回答表!AA46="○",[8]回答表!BC390,""))</f>
        <v/>
      </c>
      <c r="AR233" s="150"/>
      <c r="AS233" s="150"/>
      <c r="AT233" s="150"/>
      <c r="AU233" s="167"/>
      <c r="AV233" s="168"/>
      <c r="AW233" s="168"/>
      <c r="AX233" s="169"/>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67"/>
      <c r="AV234" s="168"/>
      <c r="AW234" s="168"/>
      <c r="AX234" s="169"/>
      <c r="AY234" s="150"/>
      <c r="AZ234" s="150"/>
      <c r="BA234" s="150"/>
      <c r="BB234" s="150"/>
      <c r="BC234" s="40"/>
      <c r="BD234" s="35"/>
      <c r="BE234" s="82" t="str">
        <f>IF([8]回答表!X46="○",[8]回答表!V374,IF([8]回答表!AA46="○",[8]回答表!V388,""))</f>
        <v/>
      </c>
      <c r="BF234" s="83"/>
      <c r="BG234" s="83"/>
      <c r="BH234" s="83"/>
      <c r="BI234" s="82" t="str">
        <f>IF([8]回答表!X46="○",[8]回答表!V375,IF([8]回答表!AA46="○",[8]回答表!V389,""))</f>
        <v/>
      </c>
      <c r="BJ234" s="83"/>
      <c r="BK234" s="83"/>
      <c r="BL234" s="86"/>
      <c r="BM234" s="82" t="str">
        <f>IF([8]回答表!X46="○",[8]回答表!V376,IF([8]回答表!AA46="○",[8]回答表!V390,""))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IF([8]回答表!X46="○",[8]回答表!BC377,IF([8]回答表!AA46="○",[8]回答表!BC391,""))</f>
        <v/>
      </c>
      <c r="AR235" s="150"/>
      <c r="AS235" s="150"/>
      <c r="AT235" s="150"/>
      <c r="AU235" s="170"/>
      <c r="AV235" s="171"/>
      <c r="AW235" s="171"/>
      <c r="AX235" s="172"/>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60" t="str">
        <f>IF([8]回答表!X46="○",[8]回答表!BC381,IF([8]回答表!AA46="○",[8]回答表!BC395,""))</f>
        <v/>
      </c>
      <c r="AZ236" s="160"/>
      <c r="BA236" s="160"/>
      <c r="BB236" s="160"/>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IF([8]回答表!AA46="○","○","")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61" t="str">
        <f>IF([8]回答表!X46="○",[8]回答表!BC378,IF([8]回答表!AA46="○",[8]回答表!BC392,""))</f>
        <v/>
      </c>
      <c r="AR237" s="150"/>
      <c r="AS237" s="150"/>
      <c r="AT237" s="150"/>
      <c r="AU237" s="149"/>
      <c r="AV237" s="149"/>
      <c r="AW237" s="149"/>
      <c r="AX237" s="149"/>
      <c r="AY237" s="160"/>
      <c r="AZ237" s="160"/>
      <c r="BA237" s="160"/>
      <c r="BB237" s="160"/>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60"/>
      <c r="AZ238" s="160"/>
      <c r="BA238" s="160"/>
      <c r="BB238" s="160"/>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IF([8]回答表!X46="○",[8]回答表!BC379,IF([8]回答表!AA46="○",[8]回答表!BC393,""))</f>
        <v/>
      </c>
      <c r="AR239" s="150"/>
      <c r="AS239" s="150"/>
      <c r="AT239" s="150"/>
      <c r="AU239" s="149"/>
      <c r="AV239" s="149"/>
      <c r="AW239" s="149"/>
      <c r="AX239" s="149"/>
      <c r="AY239" s="160"/>
      <c r="AZ239" s="160"/>
      <c r="BA239" s="160"/>
      <c r="BB239" s="160"/>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60"/>
      <c r="AZ240" s="160"/>
      <c r="BA240" s="160"/>
      <c r="BB240" s="160"/>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IF([8]回答表!AD46="○","○","")</f>
        <v/>
      </c>
      <c r="O243" s="98"/>
      <c r="P243" s="98"/>
      <c r="Q243" s="99"/>
      <c r="R243" s="39"/>
      <c r="S243" s="39"/>
      <c r="T243" s="39"/>
      <c r="U243" s="106" t="str">
        <f>IF([8]回答表!AD46="○",[8]回答表!B396,"")</f>
        <v/>
      </c>
      <c r="V243" s="107"/>
      <c r="W243" s="107"/>
      <c r="X243" s="107"/>
      <c r="Y243" s="107"/>
      <c r="Z243" s="107"/>
      <c r="AA243" s="107"/>
      <c r="AB243" s="107"/>
      <c r="AC243" s="107"/>
      <c r="AD243" s="107"/>
      <c r="AE243" s="107"/>
      <c r="AF243" s="107"/>
      <c r="AG243" s="107"/>
      <c r="AH243" s="107"/>
      <c r="AI243" s="107"/>
      <c r="AJ243" s="108"/>
      <c r="AK243" s="56"/>
      <c r="AL243" s="56"/>
      <c r="AM243" s="106" t="str">
        <f>IF([8]回答表!AD46="○",[8]回答表!B402,"")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IF([8]回答表!X47="○","○","")</f>
        <v/>
      </c>
      <c r="O254" s="98"/>
      <c r="P254" s="98"/>
      <c r="Q254" s="99"/>
      <c r="R254" s="39"/>
      <c r="S254" s="39"/>
      <c r="T254" s="39"/>
      <c r="U254" s="106" t="str">
        <f>IF([8]回答表!X47="○",[8]回答表!B414,IF([8]回答表!AA47="○",[8]回答表!B431,""))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IF([8]回答表!X47="○",[8]回答表!B424,IF([8]回答表!AA47="○",[8]回答表!B441,""))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IF([8]回答表!X47="○",[8]回答表!G420,IF([8]回答表!AA47="○",[8]回答表!G437,""))</f>
        <v/>
      </c>
      <c r="AN256" s="119"/>
      <c r="AO256" s="119"/>
      <c r="AP256" s="119"/>
      <c r="AQ256" s="119"/>
      <c r="AR256" s="119"/>
      <c r="AS256" s="119"/>
      <c r="AT256" s="120"/>
      <c r="AU256" s="118" t="str">
        <f>IF([8]回答表!X47="○",[8]回答表!G421,IF([8]回答表!AA47="○",[8]回答表!G438,""))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IF([8]回答表!X47="○",[8]回答表!E424,IF([8]回答表!AA47="○",[8]回答表!E441,""))</f>
        <v/>
      </c>
      <c r="BF257" s="83"/>
      <c r="BG257" s="83"/>
      <c r="BH257" s="83"/>
      <c r="BI257" s="82" t="str">
        <f>IF([8]回答表!X47="○",[8]回答表!E425,IF([8]回答表!AA47="○",[8]回答表!E442,""))</f>
        <v/>
      </c>
      <c r="BJ257" s="83"/>
      <c r="BK257" s="83"/>
      <c r="BL257" s="86"/>
      <c r="BM257" s="82" t="str">
        <f>IF([8]回答表!X47="○",[8]回答表!E426,IF([8]回答表!AA47="○",[8]回答表!E443,""))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IF([8]回答表!AA47="○","○","")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IF([8]回答表!AD47="○","○","")</f>
        <v/>
      </c>
      <c r="O266" s="98"/>
      <c r="P266" s="98"/>
      <c r="Q266" s="99"/>
      <c r="R266" s="39"/>
      <c r="S266" s="39"/>
      <c r="T266" s="39"/>
      <c r="U266" s="106" t="str">
        <f>IF([8]回答表!AD47="○",[8]回答表!B448,"")</f>
        <v/>
      </c>
      <c r="V266" s="107"/>
      <c r="W266" s="107"/>
      <c r="X266" s="107"/>
      <c r="Y266" s="107"/>
      <c r="Z266" s="107"/>
      <c r="AA266" s="107"/>
      <c r="AB266" s="107"/>
      <c r="AC266" s="107"/>
      <c r="AD266" s="107"/>
      <c r="AE266" s="107"/>
      <c r="AF266" s="107"/>
      <c r="AG266" s="107"/>
      <c r="AH266" s="107"/>
      <c r="AI266" s="107"/>
      <c r="AJ266" s="108"/>
      <c r="AK266" s="50"/>
      <c r="AL266" s="50"/>
      <c r="AM266" s="106" t="str">
        <f>IF([8]回答表!AD47="○",[8]回答表!B454,"")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IF([8]回答表!R48="○",[8]回答表!B467,"")</f>
        <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2"/>
  <conditionalFormatting sqref="A29:XFD30 A28:BI28 BR28:XFD28">
    <cfRule type="expression" dxfId="1"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626CD-FB83-4CA0-8ED2-AA2D9A767C46}">
  <sheetPr>
    <pageSetUpPr fitToPage="1"/>
  </sheetPr>
  <dimension ref="A1:CE298"/>
  <sheetViews>
    <sheetView showZeros="0" topLeftCell="A271" zoomScale="55" zoomScaleNormal="55" workbookViewId="0">
      <selection activeCell="CA248" sqref="CA248"/>
    </sheetView>
  </sheetViews>
  <sheetFormatPr defaultColWidth="2.875" defaultRowHeight="12.6" customHeight="1" x14ac:dyDescent="0.4"/>
  <cols>
    <col min="1" max="70" width="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63" t="s">
        <v>0</v>
      </c>
      <c r="D8" s="264"/>
      <c r="E8" s="264"/>
      <c r="F8" s="264"/>
      <c r="G8" s="264"/>
      <c r="H8" s="264"/>
      <c r="I8" s="264"/>
      <c r="J8" s="264"/>
      <c r="K8" s="264"/>
      <c r="L8" s="264"/>
      <c r="M8" s="264"/>
      <c r="N8" s="264"/>
      <c r="O8" s="264"/>
      <c r="P8" s="264"/>
      <c r="Q8" s="264"/>
      <c r="R8" s="264"/>
      <c r="S8" s="264"/>
      <c r="T8" s="264"/>
      <c r="U8" s="265" t="s">
        <v>1</v>
      </c>
      <c r="V8" s="266"/>
      <c r="W8" s="266"/>
      <c r="X8" s="266"/>
      <c r="Y8" s="266"/>
      <c r="Z8" s="266"/>
      <c r="AA8" s="266"/>
      <c r="AB8" s="266"/>
      <c r="AC8" s="266"/>
      <c r="AD8" s="266"/>
      <c r="AE8" s="266"/>
      <c r="AF8" s="266"/>
      <c r="AG8" s="266"/>
      <c r="AH8" s="266"/>
      <c r="AI8" s="266"/>
      <c r="AJ8" s="266"/>
      <c r="AK8" s="266"/>
      <c r="AL8" s="266"/>
      <c r="AM8" s="266"/>
      <c r="AN8" s="267"/>
      <c r="AO8" s="268" t="s">
        <v>2</v>
      </c>
      <c r="AP8" s="266"/>
      <c r="AQ8" s="266"/>
      <c r="AR8" s="266"/>
      <c r="AS8" s="266"/>
      <c r="AT8" s="266"/>
      <c r="AU8" s="266"/>
      <c r="AV8" s="266"/>
      <c r="AW8" s="266"/>
      <c r="AX8" s="266"/>
      <c r="AY8" s="266"/>
      <c r="AZ8" s="266"/>
      <c r="BA8" s="266"/>
      <c r="BB8" s="266"/>
      <c r="BC8" s="266"/>
      <c r="BD8" s="266"/>
      <c r="BE8" s="267"/>
      <c r="BF8" s="263" t="s">
        <v>3</v>
      </c>
      <c r="BG8" s="269"/>
      <c r="BH8" s="269"/>
      <c r="BI8" s="269"/>
      <c r="BJ8" s="269"/>
      <c r="BK8" s="269"/>
      <c r="BL8" s="269"/>
      <c r="BM8" s="269"/>
      <c r="BN8" s="269"/>
      <c r="BO8" s="269"/>
      <c r="BP8" s="269"/>
      <c r="BQ8" s="8"/>
    </row>
    <row r="9" spans="3:70" ht="15.6" customHeight="1" x14ac:dyDescent="0.4">
      <c r="C9" s="264"/>
      <c r="D9" s="264"/>
      <c r="E9" s="264"/>
      <c r="F9" s="264"/>
      <c r="G9" s="264"/>
      <c r="H9" s="264"/>
      <c r="I9" s="264"/>
      <c r="J9" s="264"/>
      <c r="K9" s="264"/>
      <c r="L9" s="264"/>
      <c r="M9" s="264"/>
      <c r="N9" s="264"/>
      <c r="O9" s="264"/>
      <c r="P9" s="264"/>
      <c r="Q9" s="264"/>
      <c r="R9" s="264"/>
      <c r="S9" s="264"/>
      <c r="T9" s="264"/>
      <c r="U9" s="219"/>
      <c r="V9" s="217"/>
      <c r="W9" s="217"/>
      <c r="X9" s="217"/>
      <c r="Y9" s="217"/>
      <c r="Z9" s="217"/>
      <c r="AA9" s="217"/>
      <c r="AB9" s="217"/>
      <c r="AC9" s="217"/>
      <c r="AD9" s="217"/>
      <c r="AE9" s="217"/>
      <c r="AF9" s="217"/>
      <c r="AG9" s="217"/>
      <c r="AH9" s="217"/>
      <c r="AI9" s="217"/>
      <c r="AJ9" s="217"/>
      <c r="AK9" s="217"/>
      <c r="AL9" s="217"/>
      <c r="AM9" s="217"/>
      <c r="AN9" s="218"/>
      <c r="AO9" s="219"/>
      <c r="AP9" s="217"/>
      <c r="AQ9" s="217"/>
      <c r="AR9" s="217"/>
      <c r="AS9" s="217"/>
      <c r="AT9" s="217"/>
      <c r="AU9" s="217"/>
      <c r="AV9" s="217"/>
      <c r="AW9" s="217"/>
      <c r="AX9" s="217"/>
      <c r="AY9" s="217"/>
      <c r="AZ9" s="217"/>
      <c r="BA9" s="217"/>
      <c r="BB9" s="217"/>
      <c r="BC9" s="217"/>
      <c r="BD9" s="217"/>
      <c r="BE9" s="218"/>
      <c r="BF9" s="269"/>
      <c r="BG9" s="269"/>
      <c r="BH9" s="269"/>
      <c r="BI9" s="269"/>
      <c r="BJ9" s="269"/>
      <c r="BK9" s="269"/>
      <c r="BL9" s="269"/>
      <c r="BM9" s="269"/>
      <c r="BN9" s="269"/>
      <c r="BO9" s="269"/>
      <c r="BP9" s="269"/>
      <c r="BQ9" s="8"/>
    </row>
    <row r="10" spans="3:70" ht="15.6" customHeight="1" x14ac:dyDescent="0.4">
      <c r="C10" s="264"/>
      <c r="D10" s="264"/>
      <c r="E10" s="264"/>
      <c r="F10" s="264"/>
      <c r="G10" s="264"/>
      <c r="H10" s="264"/>
      <c r="I10" s="264"/>
      <c r="J10" s="264"/>
      <c r="K10" s="264"/>
      <c r="L10" s="264"/>
      <c r="M10" s="264"/>
      <c r="N10" s="264"/>
      <c r="O10" s="264"/>
      <c r="P10" s="264"/>
      <c r="Q10" s="264"/>
      <c r="R10" s="264"/>
      <c r="S10" s="264"/>
      <c r="T10" s="264"/>
      <c r="U10" s="220"/>
      <c r="V10" s="221"/>
      <c r="W10" s="221"/>
      <c r="X10" s="221"/>
      <c r="Y10" s="221"/>
      <c r="Z10" s="221"/>
      <c r="AA10" s="221"/>
      <c r="AB10" s="221"/>
      <c r="AC10" s="221"/>
      <c r="AD10" s="221"/>
      <c r="AE10" s="221"/>
      <c r="AF10" s="221"/>
      <c r="AG10" s="221"/>
      <c r="AH10" s="221"/>
      <c r="AI10" s="221"/>
      <c r="AJ10" s="221"/>
      <c r="AK10" s="221"/>
      <c r="AL10" s="221"/>
      <c r="AM10" s="221"/>
      <c r="AN10" s="222"/>
      <c r="AO10" s="220"/>
      <c r="AP10" s="221"/>
      <c r="AQ10" s="221"/>
      <c r="AR10" s="221"/>
      <c r="AS10" s="221"/>
      <c r="AT10" s="221"/>
      <c r="AU10" s="221"/>
      <c r="AV10" s="221"/>
      <c r="AW10" s="221"/>
      <c r="AX10" s="221"/>
      <c r="AY10" s="221"/>
      <c r="AZ10" s="221"/>
      <c r="BA10" s="221"/>
      <c r="BB10" s="221"/>
      <c r="BC10" s="221"/>
      <c r="BD10" s="221"/>
      <c r="BE10" s="222"/>
      <c r="BF10" s="269"/>
      <c r="BG10" s="269"/>
      <c r="BH10" s="269"/>
      <c r="BI10" s="269"/>
      <c r="BJ10" s="269"/>
      <c r="BK10" s="269"/>
      <c r="BL10" s="269"/>
      <c r="BM10" s="269"/>
      <c r="BN10" s="269"/>
      <c r="BO10" s="269"/>
      <c r="BP10" s="269"/>
      <c r="BQ10" s="8"/>
    </row>
    <row r="11" spans="3:70" ht="15.6" customHeight="1" x14ac:dyDescent="0.4">
      <c r="C11" s="270" t="str">
        <f>IF(COUNTIF([12]回答表!K15,"*")&gt;0,[12]回答表!K15,"")</f>
        <v>大館市</v>
      </c>
      <c r="D11" s="264"/>
      <c r="E11" s="264"/>
      <c r="F11" s="264"/>
      <c r="G11" s="264"/>
      <c r="H11" s="264"/>
      <c r="I11" s="264"/>
      <c r="J11" s="264"/>
      <c r="K11" s="264"/>
      <c r="L11" s="264"/>
      <c r="M11" s="264"/>
      <c r="N11" s="264"/>
      <c r="O11" s="264"/>
      <c r="P11" s="264"/>
      <c r="Q11" s="264"/>
      <c r="R11" s="264"/>
      <c r="S11" s="264"/>
      <c r="T11" s="264"/>
      <c r="U11" s="271" t="str">
        <f>IF(COUNTIF([12]回答表!F17,"*")&gt;0,[12]回答表!F17,"")</f>
        <v>駐車場整備事業</v>
      </c>
      <c r="V11" s="272"/>
      <c r="W11" s="272"/>
      <c r="X11" s="272"/>
      <c r="Y11" s="272"/>
      <c r="Z11" s="272"/>
      <c r="AA11" s="272"/>
      <c r="AB11" s="272"/>
      <c r="AC11" s="272"/>
      <c r="AD11" s="272"/>
      <c r="AE11" s="272"/>
      <c r="AF11" s="266"/>
      <c r="AG11" s="266"/>
      <c r="AH11" s="266"/>
      <c r="AI11" s="266"/>
      <c r="AJ11" s="266"/>
      <c r="AK11" s="266"/>
      <c r="AL11" s="266"/>
      <c r="AM11" s="266"/>
      <c r="AN11" s="267"/>
      <c r="AO11" s="277" t="str">
        <f>IF(COUNTIF([12]回答表!W17,"*")&gt;0,[12]回答表!W17,"")</f>
        <v>―</v>
      </c>
      <c r="AP11" s="266"/>
      <c r="AQ11" s="266"/>
      <c r="AR11" s="266"/>
      <c r="AS11" s="266"/>
      <c r="AT11" s="266"/>
      <c r="AU11" s="266"/>
      <c r="AV11" s="266"/>
      <c r="AW11" s="266"/>
      <c r="AX11" s="266"/>
      <c r="AY11" s="266"/>
      <c r="AZ11" s="266"/>
      <c r="BA11" s="266"/>
      <c r="BB11" s="266"/>
      <c r="BC11" s="266"/>
      <c r="BD11" s="266"/>
      <c r="BE11" s="267"/>
      <c r="BF11" s="270" t="str">
        <f>IF(COUNTIF([12]回答表!F19,"*")&gt;0,[12]回答表!F19,"")</f>
        <v>ー</v>
      </c>
      <c r="BG11" s="269"/>
      <c r="BH11" s="269"/>
      <c r="BI11" s="269"/>
      <c r="BJ11" s="269"/>
      <c r="BK11" s="269"/>
      <c r="BL11" s="269"/>
      <c r="BM11" s="269"/>
      <c r="BN11" s="269"/>
      <c r="BO11" s="269"/>
      <c r="BP11" s="269"/>
      <c r="BQ11" s="6"/>
    </row>
    <row r="12" spans="3:70" ht="15.6" customHeight="1" x14ac:dyDescent="0.4">
      <c r="C12" s="264"/>
      <c r="D12" s="264"/>
      <c r="E12" s="264"/>
      <c r="F12" s="264"/>
      <c r="G12" s="264"/>
      <c r="H12" s="264"/>
      <c r="I12" s="264"/>
      <c r="J12" s="264"/>
      <c r="K12" s="264"/>
      <c r="L12" s="264"/>
      <c r="M12" s="264"/>
      <c r="N12" s="264"/>
      <c r="O12" s="264"/>
      <c r="P12" s="264"/>
      <c r="Q12" s="264"/>
      <c r="R12" s="264"/>
      <c r="S12" s="264"/>
      <c r="T12" s="264"/>
      <c r="U12" s="273"/>
      <c r="V12" s="274"/>
      <c r="W12" s="274"/>
      <c r="X12" s="274"/>
      <c r="Y12" s="274"/>
      <c r="Z12" s="274"/>
      <c r="AA12" s="274"/>
      <c r="AB12" s="274"/>
      <c r="AC12" s="274"/>
      <c r="AD12" s="274"/>
      <c r="AE12" s="274"/>
      <c r="AF12" s="217"/>
      <c r="AG12" s="217"/>
      <c r="AH12" s="217"/>
      <c r="AI12" s="217"/>
      <c r="AJ12" s="217"/>
      <c r="AK12" s="217"/>
      <c r="AL12" s="217"/>
      <c r="AM12" s="217"/>
      <c r="AN12" s="218"/>
      <c r="AO12" s="219"/>
      <c r="AP12" s="217"/>
      <c r="AQ12" s="217"/>
      <c r="AR12" s="217"/>
      <c r="AS12" s="217"/>
      <c r="AT12" s="217"/>
      <c r="AU12" s="217"/>
      <c r="AV12" s="217"/>
      <c r="AW12" s="217"/>
      <c r="AX12" s="217"/>
      <c r="AY12" s="217"/>
      <c r="AZ12" s="217"/>
      <c r="BA12" s="217"/>
      <c r="BB12" s="217"/>
      <c r="BC12" s="217"/>
      <c r="BD12" s="217"/>
      <c r="BE12" s="218"/>
      <c r="BF12" s="269"/>
      <c r="BG12" s="269"/>
      <c r="BH12" s="269"/>
      <c r="BI12" s="269"/>
      <c r="BJ12" s="269"/>
      <c r="BK12" s="269"/>
      <c r="BL12" s="269"/>
      <c r="BM12" s="269"/>
      <c r="BN12" s="269"/>
      <c r="BO12" s="269"/>
      <c r="BP12" s="269"/>
      <c r="BQ12" s="6"/>
    </row>
    <row r="13" spans="3:70" ht="15.6" customHeight="1" x14ac:dyDescent="0.4">
      <c r="C13" s="264"/>
      <c r="D13" s="264"/>
      <c r="E13" s="264"/>
      <c r="F13" s="264"/>
      <c r="G13" s="264"/>
      <c r="H13" s="264"/>
      <c r="I13" s="264"/>
      <c r="J13" s="264"/>
      <c r="K13" s="264"/>
      <c r="L13" s="264"/>
      <c r="M13" s="264"/>
      <c r="N13" s="264"/>
      <c r="O13" s="264"/>
      <c r="P13" s="264"/>
      <c r="Q13" s="264"/>
      <c r="R13" s="264"/>
      <c r="S13" s="264"/>
      <c r="T13" s="264"/>
      <c r="U13" s="275"/>
      <c r="V13" s="276"/>
      <c r="W13" s="276"/>
      <c r="X13" s="276"/>
      <c r="Y13" s="276"/>
      <c r="Z13" s="276"/>
      <c r="AA13" s="276"/>
      <c r="AB13" s="276"/>
      <c r="AC13" s="276"/>
      <c r="AD13" s="276"/>
      <c r="AE13" s="276"/>
      <c r="AF13" s="221"/>
      <c r="AG13" s="221"/>
      <c r="AH13" s="221"/>
      <c r="AI13" s="221"/>
      <c r="AJ13" s="221"/>
      <c r="AK13" s="221"/>
      <c r="AL13" s="221"/>
      <c r="AM13" s="221"/>
      <c r="AN13" s="222"/>
      <c r="AO13" s="220"/>
      <c r="AP13" s="221"/>
      <c r="AQ13" s="221"/>
      <c r="AR13" s="221"/>
      <c r="AS13" s="221"/>
      <c r="AT13" s="221"/>
      <c r="AU13" s="221"/>
      <c r="AV13" s="221"/>
      <c r="AW13" s="221"/>
      <c r="AX13" s="221"/>
      <c r="AY13" s="221"/>
      <c r="AZ13" s="221"/>
      <c r="BA13" s="221"/>
      <c r="BB13" s="221"/>
      <c r="BC13" s="221"/>
      <c r="BD13" s="221"/>
      <c r="BE13" s="222"/>
      <c r="BF13" s="269"/>
      <c r="BG13" s="269"/>
      <c r="BH13" s="269"/>
      <c r="BI13" s="269"/>
      <c r="BJ13" s="269"/>
      <c r="BK13" s="269"/>
      <c r="BL13" s="269"/>
      <c r="BM13" s="269"/>
      <c r="BN13" s="269"/>
      <c r="BO13" s="269"/>
      <c r="BP13" s="269"/>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30" t="s">
        <v>4</v>
      </c>
      <c r="E18" s="231"/>
      <c r="F18" s="231"/>
      <c r="G18" s="231"/>
      <c r="H18" s="231"/>
      <c r="I18" s="231"/>
      <c r="J18" s="231"/>
      <c r="K18" s="231"/>
      <c r="L18" s="231"/>
      <c r="M18" s="231"/>
      <c r="N18" s="231"/>
      <c r="O18" s="231"/>
      <c r="P18" s="231"/>
      <c r="Q18" s="231"/>
      <c r="R18" s="231"/>
      <c r="S18" s="231"/>
      <c r="T18" s="231"/>
      <c r="U18" s="231"/>
      <c r="V18" s="231"/>
      <c r="W18" s="231"/>
      <c r="X18" s="231"/>
      <c r="Y18" s="231"/>
      <c r="Z18" s="231"/>
      <c r="AA18" s="231"/>
      <c r="AB18" s="231"/>
      <c r="AC18" s="231"/>
      <c r="AD18" s="231"/>
      <c r="AE18" s="231"/>
      <c r="AF18" s="231"/>
      <c r="AG18" s="231"/>
      <c r="AH18" s="231"/>
      <c r="AI18" s="231"/>
      <c r="AJ18" s="231"/>
      <c r="AK18" s="231"/>
      <c r="AL18" s="231"/>
      <c r="AM18" s="231"/>
      <c r="AN18" s="231"/>
      <c r="AO18" s="231"/>
      <c r="AP18" s="231"/>
      <c r="AQ18" s="231"/>
      <c r="AR18" s="231"/>
      <c r="AS18" s="231"/>
      <c r="AT18" s="231"/>
      <c r="AU18" s="231"/>
      <c r="AV18" s="231"/>
      <c r="AW18" s="231"/>
      <c r="AX18" s="231"/>
      <c r="AY18" s="231"/>
      <c r="AZ18" s="232"/>
      <c r="BA18" s="15"/>
      <c r="BB18" s="15"/>
      <c r="BC18" s="15"/>
      <c r="BD18" s="15"/>
      <c r="BE18" s="15"/>
      <c r="BF18" s="15"/>
      <c r="BG18" s="15"/>
      <c r="BH18" s="15"/>
      <c r="BI18" s="15"/>
      <c r="BJ18" s="15"/>
      <c r="BK18" s="16"/>
      <c r="BR18" s="13"/>
    </row>
    <row r="19" spans="3:83" ht="15.6" customHeight="1" x14ac:dyDescent="0.4">
      <c r="C19" s="14"/>
      <c r="D19" s="233"/>
      <c r="E19" s="234"/>
      <c r="F19" s="234"/>
      <c r="G19" s="234"/>
      <c r="H19" s="234"/>
      <c r="I19" s="234"/>
      <c r="J19" s="234"/>
      <c r="K19" s="234"/>
      <c r="L19" s="234"/>
      <c r="M19" s="234"/>
      <c r="N19" s="234"/>
      <c r="O19" s="234"/>
      <c r="P19" s="234"/>
      <c r="Q19" s="234"/>
      <c r="R19" s="234"/>
      <c r="S19" s="234"/>
      <c r="T19" s="234"/>
      <c r="U19" s="234"/>
      <c r="V19" s="234"/>
      <c r="W19" s="234"/>
      <c r="X19" s="234"/>
      <c r="Y19" s="234"/>
      <c r="Z19" s="234"/>
      <c r="AA19" s="234"/>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5"/>
      <c r="BA19" s="15"/>
      <c r="BB19" s="15"/>
      <c r="BC19" s="15"/>
      <c r="BD19" s="15"/>
      <c r="BE19" s="15"/>
      <c r="BF19" s="15"/>
      <c r="BG19" s="15"/>
      <c r="BH19" s="15"/>
      <c r="BI19" s="15"/>
      <c r="BJ19" s="15"/>
      <c r="BK19" s="16"/>
      <c r="BR19" s="13"/>
    </row>
    <row r="20" spans="3:83" ht="13.35" customHeight="1" x14ac:dyDescent="0.4">
      <c r="C20" s="14"/>
      <c r="D20" s="236" t="s">
        <v>5</v>
      </c>
      <c r="E20" s="237"/>
      <c r="F20" s="237"/>
      <c r="G20" s="237"/>
      <c r="H20" s="237"/>
      <c r="I20" s="237"/>
      <c r="J20" s="238"/>
      <c r="K20" s="236" t="s">
        <v>6</v>
      </c>
      <c r="L20" s="237"/>
      <c r="M20" s="237"/>
      <c r="N20" s="237"/>
      <c r="O20" s="237"/>
      <c r="P20" s="237"/>
      <c r="Q20" s="238"/>
      <c r="R20" s="236" t="s">
        <v>7</v>
      </c>
      <c r="S20" s="237"/>
      <c r="T20" s="237"/>
      <c r="U20" s="237"/>
      <c r="V20" s="237"/>
      <c r="W20" s="237"/>
      <c r="X20" s="238"/>
      <c r="Y20" s="245" t="s">
        <v>8</v>
      </c>
      <c r="Z20" s="246"/>
      <c r="AA20" s="246"/>
      <c r="AB20" s="246"/>
      <c r="AC20" s="246"/>
      <c r="AD20" s="246"/>
      <c r="AE20" s="246"/>
      <c r="AF20" s="246"/>
      <c r="AG20" s="246"/>
      <c r="AH20" s="246"/>
      <c r="AI20" s="246"/>
      <c r="AJ20" s="246"/>
      <c r="AK20" s="246"/>
      <c r="AL20" s="246"/>
      <c r="AM20" s="246"/>
      <c r="AN20" s="246"/>
      <c r="AO20" s="246"/>
      <c r="AP20" s="246"/>
      <c r="AQ20" s="246"/>
      <c r="AR20" s="246"/>
      <c r="AS20" s="246"/>
      <c r="AT20" s="246"/>
      <c r="AU20" s="246"/>
      <c r="AV20" s="246"/>
      <c r="AW20" s="246"/>
      <c r="AX20" s="246"/>
      <c r="AY20" s="246"/>
      <c r="AZ20" s="247"/>
      <c r="BA20" s="17"/>
      <c r="BB20" s="254" t="s">
        <v>9</v>
      </c>
      <c r="BC20" s="255"/>
      <c r="BD20" s="255"/>
      <c r="BE20" s="255"/>
      <c r="BF20" s="255"/>
      <c r="BG20" s="255"/>
      <c r="BH20" s="255"/>
      <c r="BI20" s="223"/>
      <c r="BJ20" s="224"/>
      <c r="BK20" s="16"/>
      <c r="BR20" s="18"/>
    </row>
    <row r="21" spans="3:83" ht="13.35" customHeight="1" x14ac:dyDescent="0.4">
      <c r="C21" s="14"/>
      <c r="D21" s="239"/>
      <c r="E21" s="240"/>
      <c r="F21" s="240"/>
      <c r="G21" s="240"/>
      <c r="H21" s="240"/>
      <c r="I21" s="240"/>
      <c r="J21" s="241"/>
      <c r="K21" s="239"/>
      <c r="L21" s="240"/>
      <c r="M21" s="240"/>
      <c r="N21" s="240"/>
      <c r="O21" s="240"/>
      <c r="P21" s="240"/>
      <c r="Q21" s="241"/>
      <c r="R21" s="239"/>
      <c r="S21" s="240"/>
      <c r="T21" s="240"/>
      <c r="U21" s="240"/>
      <c r="V21" s="240"/>
      <c r="W21" s="240"/>
      <c r="X21" s="241"/>
      <c r="Y21" s="248"/>
      <c r="Z21" s="249"/>
      <c r="AA21" s="249"/>
      <c r="AB21" s="249"/>
      <c r="AC21" s="249"/>
      <c r="AD21" s="249"/>
      <c r="AE21" s="249"/>
      <c r="AF21" s="249"/>
      <c r="AG21" s="249"/>
      <c r="AH21" s="249"/>
      <c r="AI21" s="249"/>
      <c r="AJ21" s="249"/>
      <c r="AK21" s="249"/>
      <c r="AL21" s="249"/>
      <c r="AM21" s="249"/>
      <c r="AN21" s="249"/>
      <c r="AO21" s="249"/>
      <c r="AP21" s="249"/>
      <c r="AQ21" s="249"/>
      <c r="AR21" s="249"/>
      <c r="AS21" s="249"/>
      <c r="AT21" s="249"/>
      <c r="AU21" s="249"/>
      <c r="AV21" s="249"/>
      <c r="AW21" s="249"/>
      <c r="AX21" s="249"/>
      <c r="AY21" s="249"/>
      <c r="AZ21" s="250"/>
      <c r="BA21" s="17"/>
      <c r="BB21" s="256"/>
      <c r="BC21" s="257"/>
      <c r="BD21" s="257"/>
      <c r="BE21" s="257"/>
      <c r="BF21" s="257"/>
      <c r="BG21" s="257"/>
      <c r="BH21" s="257"/>
      <c r="BI21" s="225"/>
      <c r="BJ21" s="226"/>
      <c r="BK21" s="16"/>
      <c r="BR21" s="18"/>
    </row>
    <row r="22" spans="3:83" ht="13.35" customHeight="1" x14ac:dyDescent="0.4">
      <c r="C22" s="14"/>
      <c r="D22" s="239"/>
      <c r="E22" s="240"/>
      <c r="F22" s="240"/>
      <c r="G22" s="240"/>
      <c r="H22" s="240"/>
      <c r="I22" s="240"/>
      <c r="J22" s="241"/>
      <c r="K22" s="239"/>
      <c r="L22" s="240"/>
      <c r="M22" s="240"/>
      <c r="N22" s="240"/>
      <c r="O22" s="240"/>
      <c r="P22" s="240"/>
      <c r="Q22" s="241"/>
      <c r="R22" s="239"/>
      <c r="S22" s="240"/>
      <c r="T22" s="240"/>
      <c r="U22" s="240"/>
      <c r="V22" s="240"/>
      <c r="W22" s="240"/>
      <c r="X22" s="241"/>
      <c r="Y22" s="251"/>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3"/>
      <c r="BA22" s="19"/>
      <c r="BB22" s="256"/>
      <c r="BC22" s="257"/>
      <c r="BD22" s="257"/>
      <c r="BE22" s="257"/>
      <c r="BF22" s="257"/>
      <c r="BG22" s="257"/>
      <c r="BH22" s="257"/>
      <c r="BI22" s="225"/>
      <c r="BJ22" s="226"/>
      <c r="BK22" s="16"/>
      <c r="BR22" s="18"/>
    </row>
    <row r="23" spans="3:83" ht="31.35" customHeight="1" x14ac:dyDescent="0.4">
      <c r="C23" s="14"/>
      <c r="D23" s="242"/>
      <c r="E23" s="243"/>
      <c r="F23" s="243"/>
      <c r="G23" s="243"/>
      <c r="H23" s="243"/>
      <c r="I23" s="243"/>
      <c r="J23" s="244"/>
      <c r="K23" s="242"/>
      <c r="L23" s="243"/>
      <c r="M23" s="243"/>
      <c r="N23" s="243"/>
      <c r="O23" s="243"/>
      <c r="P23" s="243"/>
      <c r="Q23" s="244"/>
      <c r="R23" s="242"/>
      <c r="S23" s="243"/>
      <c r="T23" s="243"/>
      <c r="U23" s="243"/>
      <c r="V23" s="243"/>
      <c r="W23" s="243"/>
      <c r="X23" s="244"/>
      <c r="Y23" s="260" t="s">
        <v>10</v>
      </c>
      <c r="Z23" s="261"/>
      <c r="AA23" s="261"/>
      <c r="AB23" s="261"/>
      <c r="AC23" s="261"/>
      <c r="AD23" s="261"/>
      <c r="AE23" s="262"/>
      <c r="AF23" s="260" t="s">
        <v>11</v>
      </c>
      <c r="AG23" s="261"/>
      <c r="AH23" s="261"/>
      <c r="AI23" s="261"/>
      <c r="AJ23" s="261"/>
      <c r="AK23" s="261"/>
      <c r="AL23" s="262"/>
      <c r="AM23" s="260" t="s">
        <v>12</v>
      </c>
      <c r="AN23" s="261"/>
      <c r="AO23" s="261"/>
      <c r="AP23" s="261"/>
      <c r="AQ23" s="261"/>
      <c r="AR23" s="261"/>
      <c r="AS23" s="262"/>
      <c r="AT23" s="260" t="s">
        <v>13</v>
      </c>
      <c r="AU23" s="261"/>
      <c r="AV23" s="261"/>
      <c r="AW23" s="261"/>
      <c r="AX23" s="261"/>
      <c r="AY23" s="261"/>
      <c r="AZ23" s="262"/>
      <c r="BA23" s="19"/>
      <c r="BB23" s="258"/>
      <c r="BC23" s="259"/>
      <c r="BD23" s="259"/>
      <c r="BE23" s="259"/>
      <c r="BF23" s="259"/>
      <c r="BG23" s="259"/>
      <c r="BH23" s="259"/>
      <c r="BI23" s="227"/>
      <c r="BJ23" s="228"/>
      <c r="BK23" s="16"/>
      <c r="BR23" s="18"/>
    </row>
    <row r="24" spans="3:83" ht="15.6" customHeight="1" x14ac:dyDescent="0.4">
      <c r="C24" s="14"/>
      <c r="D24" s="121" t="str">
        <f>IF([12]回答表!R41="○","○","")</f>
        <v>○</v>
      </c>
      <c r="E24" s="122"/>
      <c r="F24" s="122"/>
      <c r="G24" s="122"/>
      <c r="H24" s="122"/>
      <c r="I24" s="122"/>
      <c r="J24" s="123"/>
      <c r="K24" s="121" t="str">
        <f>IF([12]回答表!R42="○","○","")</f>
        <v/>
      </c>
      <c r="L24" s="122"/>
      <c r="M24" s="122"/>
      <c r="N24" s="122"/>
      <c r="O24" s="122"/>
      <c r="P24" s="122"/>
      <c r="Q24" s="123"/>
      <c r="R24" s="121" t="str">
        <f>IF([12]回答表!R43="○","○","")</f>
        <v/>
      </c>
      <c r="S24" s="122"/>
      <c r="T24" s="122"/>
      <c r="U24" s="122"/>
      <c r="V24" s="122"/>
      <c r="W24" s="122"/>
      <c r="X24" s="123"/>
      <c r="Y24" s="121" t="str">
        <f>IF([12]回答表!R44="○","○","")</f>
        <v/>
      </c>
      <c r="Z24" s="122"/>
      <c r="AA24" s="122"/>
      <c r="AB24" s="122"/>
      <c r="AC24" s="122"/>
      <c r="AD24" s="122"/>
      <c r="AE24" s="123"/>
      <c r="AF24" s="121" t="str">
        <f>IF([12]回答表!R45="○","○","")</f>
        <v/>
      </c>
      <c r="AG24" s="122"/>
      <c r="AH24" s="122"/>
      <c r="AI24" s="122"/>
      <c r="AJ24" s="122"/>
      <c r="AK24" s="122"/>
      <c r="AL24" s="123"/>
      <c r="AM24" s="121" t="str">
        <f>IF([12]回答表!R46="○","○","")</f>
        <v/>
      </c>
      <c r="AN24" s="122"/>
      <c r="AO24" s="122"/>
      <c r="AP24" s="122"/>
      <c r="AQ24" s="122"/>
      <c r="AR24" s="122"/>
      <c r="AS24" s="123"/>
      <c r="AT24" s="121" t="str">
        <f>IF([12]回答表!R47="○","○","")</f>
        <v/>
      </c>
      <c r="AU24" s="122"/>
      <c r="AV24" s="122"/>
      <c r="AW24" s="122"/>
      <c r="AX24" s="122"/>
      <c r="AY24" s="122"/>
      <c r="AZ24" s="123"/>
      <c r="BA24" s="19"/>
      <c r="BB24" s="118" t="str">
        <f>IF([12]回答表!R48="○","○","")</f>
        <v/>
      </c>
      <c r="BC24" s="119"/>
      <c r="BD24" s="119"/>
      <c r="BE24" s="119"/>
      <c r="BF24" s="119"/>
      <c r="BG24" s="119"/>
      <c r="BH24" s="119"/>
      <c r="BI24" s="223"/>
      <c r="BJ24" s="224"/>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25"/>
      <c r="BJ25" s="226"/>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27"/>
      <c r="BJ26" s="228"/>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IF([12]回答表!X41="○","○","")</f>
        <v>○</v>
      </c>
      <c r="O36" s="98"/>
      <c r="P36" s="98"/>
      <c r="Q36" s="99"/>
      <c r="R36" s="39"/>
      <c r="S36" s="39"/>
      <c r="T36" s="39"/>
      <c r="U36" s="106" t="str">
        <f>IF([12]回答表!X41="○",[12]回答表!B56,IF([12]回答表!AA41="○",[12]回答表!B76,""))</f>
        <v>公設駐車場の運営及び建設事業債の償還を実施、事業廃止後に施設の管理方法を見直したことで管理運営費△4,338千円（H26年度3月補正予算後予算額とR2年度当初予算額対比）となった。</v>
      </c>
      <c r="V36" s="107"/>
      <c r="W36" s="107"/>
      <c r="X36" s="107"/>
      <c r="Y36" s="107"/>
      <c r="Z36" s="107"/>
      <c r="AA36" s="107"/>
      <c r="AB36" s="107"/>
      <c r="AC36" s="107"/>
      <c r="AD36" s="107"/>
      <c r="AE36" s="107"/>
      <c r="AF36" s="107"/>
      <c r="AG36" s="107"/>
      <c r="AH36" s="107"/>
      <c r="AI36" s="107"/>
      <c r="AJ36" s="108"/>
      <c r="AK36" s="50"/>
      <c r="AL36" s="50"/>
      <c r="AM36" s="229" t="s">
        <v>19</v>
      </c>
      <c r="AN36" s="229"/>
      <c r="AO36" s="229"/>
      <c r="AP36" s="229"/>
      <c r="AQ36" s="229"/>
      <c r="AR36" s="229"/>
      <c r="AS36" s="229"/>
      <c r="AT36" s="229"/>
      <c r="AU36" s="229" t="s">
        <v>20</v>
      </c>
      <c r="AV36" s="229"/>
      <c r="AW36" s="229"/>
      <c r="AX36" s="229"/>
      <c r="AY36" s="229"/>
      <c r="AZ36" s="229"/>
      <c r="BA36" s="229"/>
      <c r="BB36" s="229"/>
      <c r="BC36" s="40"/>
      <c r="BD36" s="35"/>
      <c r="BE36" s="115" t="str">
        <f>IF([12]回答表!X41="○",[12]回答表!S62,IF([12]回答表!AA41="○",[12]回答表!S82,""))</f>
        <v>平成</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29"/>
      <c r="AN37" s="229"/>
      <c r="AO37" s="229"/>
      <c r="AP37" s="229"/>
      <c r="AQ37" s="229"/>
      <c r="AR37" s="229"/>
      <c r="AS37" s="229"/>
      <c r="AT37" s="229"/>
      <c r="AU37" s="229"/>
      <c r="AV37" s="229"/>
      <c r="AW37" s="229"/>
      <c r="AX37" s="229"/>
      <c r="AY37" s="229"/>
      <c r="AZ37" s="229"/>
      <c r="BA37" s="229"/>
      <c r="BB37" s="229"/>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IF([12]回答表!X41="○",[12]回答表!G62,IF([12]回答表!AA41="○",[12]回答表!G82,""))</f>
        <v>○</v>
      </c>
      <c r="AN38" s="119"/>
      <c r="AO38" s="119"/>
      <c r="AP38" s="119"/>
      <c r="AQ38" s="119"/>
      <c r="AR38" s="119"/>
      <c r="AS38" s="119"/>
      <c r="AT38" s="120"/>
      <c r="AU38" s="118">
        <f>IF([12]回答表!X41="○",[12]回答表!G63,IF([12]回答表!AA41="○",[12]回答表!G83,""))</f>
        <v>0</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f>IF([12]回答表!X41="○",[12]回答表!V62,IF([12]回答表!AA41="○",[12]回答表!V82,""))</f>
        <v>27</v>
      </c>
      <c r="BF39" s="217"/>
      <c r="BG39" s="217"/>
      <c r="BH39" s="218"/>
      <c r="BI39" s="82">
        <f>IF([12]回答表!X41="○",[12]回答表!V63,IF([12]回答表!AA41="○",[12]回答表!V83,""))</f>
        <v>3</v>
      </c>
      <c r="BJ39" s="217"/>
      <c r="BK39" s="217"/>
      <c r="BL39" s="218"/>
      <c r="BM39" s="82">
        <f>IF([12]回答表!X41="○",[12]回答表!V64,IF([12]回答表!AA41="○",[12]回答表!V84,""))</f>
        <v>31</v>
      </c>
      <c r="BN39" s="217"/>
      <c r="BO39" s="217"/>
      <c r="BP39" s="218"/>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19"/>
      <c r="BF40" s="217"/>
      <c r="BG40" s="217"/>
      <c r="BH40" s="218"/>
      <c r="BI40" s="219"/>
      <c r="BJ40" s="217"/>
      <c r="BK40" s="217"/>
      <c r="BL40" s="218"/>
      <c r="BM40" s="219"/>
      <c r="BN40" s="217"/>
      <c r="BO40" s="217"/>
      <c r="BP40" s="218"/>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19"/>
      <c r="BF41" s="217"/>
      <c r="BG41" s="217"/>
      <c r="BH41" s="218"/>
      <c r="BI41" s="219"/>
      <c r="BJ41" s="217"/>
      <c r="BK41" s="217"/>
      <c r="BL41" s="218"/>
      <c r="BM41" s="219"/>
      <c r="BN41" s="217"/>
      <c r="BO41" s="217"/>
      <c r="BP41" s="218"/>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215" t="str">
        <f>IF([12]回答表!X41="○",[12]回答表!O68,IF([12]回答表!AA41="○",[12]回答表!O88,""))</f>
        <v>○</v>
      </c>
      <c r="AN42" s="216"/>
      <c r="AO42" s="213" t="s">
        <v>21</v>
      </c>
      <c r="AP42" s="213"/>
      <c r="AQ42" s="213"/>
      <c r="AR42" s="213"/>
      <c r="AS42" s="213"/>
      <c r="AT42" s="213"/>
      <c r="AU42" s="213"/>
      <c r="AV42" s="213"/>
      <c r="AW42" s="213"/>
      <c r="AX42" s="213"/>
      <c r="AY42" s="213"/>
      <c r="AZ42" s="213"/>
      <c r="BA42" s="213"/>
      <c r="BB42" s="214"/>
      <c r="BC42" s="40"/>
      <c r="BD42" s="40"/>
      <c r="BE42" s="219"/>
      <c r="BF42" s="217"/>
      <c r="BG42" s="217"/>
      <c r="BH42" s="218"/>
      <c r="BI42" s="219"/>
      <c r="BJ42" s="217"/>
      <c r="BK42" s="217"/>
      <c r="BL42" s="218"/>
      <c r="BM42" s="219"/>
      <c r="BN42" s="217"/>
      <c r="BO42" s="217"/>
      <c r="BP42" s="218"/>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215" t="str">
        <f>IF([12]回答表!X41="○",[12]回答表!O69,IF([12]回答表!AA41="○",[12]回答表!O89,""))</f>
        <v>○</v>
      </c>
      <c r="AN43" s="216"/>
      <c r="AO43" s="213" t="s">
        <v>22</v>
      </c>
      <c r="AP43" s="213"/>
      <c r="AQ43" s="213"/>
      <c r="AR43" s="213"/>
      <c r="AS43" s="213"/>
      <c r="AT43" s="213"/>
      <c r="AU43" s="213"/>
      <c r="AV43" s="213"/>
      <c r="AW43" s="213"/>
      <c r="AX43" s="213"/>
      <c r="AY43" s="213"/>
      <c r="AZ43" s="213"/>
      <c r="BA43" s="213"/>
      <c r="BB43" s="214"/>
      <c r="BC43" s="40"/>
      <c r="BD43" s="35"/>
      <c r="BE43" s="82" t="s">
        <v>23</v>
      </c>
      <c r="BF43" s="217"/>
      <c r="BG43" s="217"/>
      <c r="BH43" s="218"/>
      <c r="BI43" s="82" t="s">
        <v>24</v>
      </c>
      <c r="BJ43" s="217"/>
      <c r="BK43" s="217"/>
      <c r="BL43" s="218"/>
      <c r="BM43" s="82" t="s">
        <v>25</v>
      </c>
      <c r="BN43" s="217"/>
      <c r="BO43" s="217"/>
      <c r="BP43" s="218"/>
      <c r="BQ43" s="38"/>
      <c r="BR43" s="25"/>
    </row>
    <row r="44" spans="1:70" ht="15.6" customHeight="1" x14ac:dyDescent="0.4">
      <c r="A44" s="25"/>
      <c r="B44" s="25"/>
      <c r="C44" s="33"/>
      <c r="D44" s="140" t="s">
        <v>26</v>
      </c>
      <c r="E44" s="141"/>
      <c r="F44" s="141"/>
      <c r="G44" s="141"/>
      <c r="H44" s="141"/>
      <c r="I44" s="141"/>
      <c r="J44" s="141"/>
      <c r="K44" s="141"/>
      <c r="L44" s="141"/>
      <c r="M44" s="142"/>
      <c r="N44" s="97" t="str">
        <f>IF([12]回答表!AA41="○","○","")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215">
        <f>IF([12]回答表!X41="○",[12]回答表!O70,IF([12]回答表!AA41="○",[12]回答表!O90,""))</f>
        <v>0</v>
      </c>
      <c r="AN44" s="216"/>
      <c r="AO44" s="213" t="s">
        <v>27</v>
      </c>
      <c r="AP44" s="213"/>
      <c r="AQ44" s="213"/>
      <c r="AR44" s="213"/>
      <c r="AS44" s="213"/>
      <c r="AT44" s="213"/>
      <c r="AU44" s="213"/>
      <c r="AV44" s="213"/>
      <c r="AW44" s="213"/>
      <c r="AX44" s="213"/>
      <c r="AY44" s="213"/>
      <c r="AZ44" s="213"/>
      <c r="BA44" s="213"/>
      <c r="BB44" s="214"/>
      <c r="BC44" s="40"/>
      <c r="BD44" s="54"/>
      <c r="BE44" s="219"/>
      <c r="BF44" s="217"/>
      <c r="BG44" s="217"/>
      <c r="BH44" s="218"/>
      <c r="BI44" s="219"/>
      <c r="BJ44" s="217"/>
      <c r="BK44" s="217"/>
      <c r="BL44" s="218"/>
      <c r="BM44" s="219"/>
      <c r="BN44" s="217"/>
      <c r="BO44" s="217"/>
      <c r="BP44" s="218"/>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215">
        <f>IF([12]回答表!X41="○",[12]回答表!O71,IF([12]回答表!AA41="○",[12]回答表!O91,""))</f>
        <v>0</v>
      </c>
      <c r="AN45" s="216"/>
      <c r="AO45" s="213" t="s">
        <v>28</v>
      </c>
      <c r="AP45" s="213"/>
      <c r="AQ45" s="213"/>
      <c r="AR45" s="213"/>
      <c r="AS45" s="213"/>
      <c r="AT45" s="213"/>
      <c r="AU45" s="213"/>
      <c r="AV45" s="213"/>
      <c r="AW45" s="213"/>
      <c r="AX45" s="213"/>
      <c r="AY45" s="213"/>
      <c r="AZ45" s="213"/>
      <c r="BA45" s="213"/>
      <c r="BB45" s="214"/>
      <c r="BC45" s="40"/>
      <c r="BD45" s="54"/>
      <c r="BE45" s="220"/>
      <c r="BF45" s="221"/>
      <c r="BG45" s="221"/>
      <c r="BH45" s="222"/>
      <c r="BI45" s="220"/>
      <c r="BJ45" s="221"/>
      <c r="BK45" s="221"/>
      <c r="BL45" s="222"/>
      <c r="BM45" s="220"/>
      <c r="BN45" s="221"/>
      <c r="BO45" s="221"/>
      <c r="BP45" s="222"/>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215">
        <f>IF([12]回答表!X41="○",[12]回答表!AG68,IF([12]回答表!AA41="○",[12]回答表!AG88,""))</f>
        <v>0</v>
      </c>
      <c r="AN46" s="216"/>
      <c r="AO46" s="213" t="s">
        <v>29</v>
      </c>
      <c r="AP46" s="213"/>
      <c r="AQ46" s="213"/>
      <c r="AR46" s="213"/>
      <c r="AS46" s="213"/>
      <c r="AT46" s="213"/>
      <c r="AU46" s="213"/>
      <c r="AV46" s="213"/>
      <c r="AW46" s="213"/>
      <c r="AX46" s="213"/>
      <c r="AY46" s="213"/>
      <c r="AZ46" s="213"/>
      <c r="BA46" s="213"/>
      <c r="BB46" s="214"/>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215">
        <f>IF([12]回答表!X41="○",[12]回答表!AG69,IF([12]回答表!AA41="○",[12]回答表!AG89,""))</f>
        <v>0</v>
      </c>
      <c r="AN47" s="216"/>
      <c r="AO47" s="213" t="s">
        <v>30</v>
      </c>
      <c r="AP47" s="213"/>
      <c r="AQ47" s="213"/>
      <c r="AR47" s="213"/>
      <c r="AS47" s="213"/>
      <c r="AT47" s="213"/>
      <c r="AU47" s="213"/>
      <c r="AV47" s="213"/>
      <c r="AW47" s="213"/>
      <c r="AX47" s="213"/>
      <c r="AY47" s="213"/>
      <c r="AZ47" s="213"/>
      <c r="BA47" s="213"/>
      <c r="BB47" s="214"/>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215">
        <f>IF([12]回答表!X41="○",[12]回答表!AG70,IF([12]回答表!AA41="○",[12]回答表!AG90,""))</f>
        <v>0</v>
      </c>
      <c r="AN48" s="216"/>
      <c r="AO48" s="213" t="s">
        <v>31</v>
      </c>
      <c r="AP48" s="213"/>
      <c r="AQ48" s="213"/>
      <c r="AR48" s="213"/>
      <c r="AS48" s="213"/>
      <c r="AT48" s="213"/>
      <c r="AU48" s="213"/>
      <c r="AV48" s="213"/>
      <c r="AW48" s="213"/>
      <c r="AX48" s="213"/>
      <c r="AY48" s="213"/>
      <c r="AZ48" s="213"/>
      <c r="BA48" s="213"/>
      <c r="BB48" s="214"/>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IF([12]回答表!AD41="○","○","")</f>
        <v/>
      </c>
      <c r="O52" s="98"/>
      <c r="P52" s="98"/>
      <c r="Q52" s="99"/>
      <c r="R52" s="39"/>
      <c r="S52" s="39"/>
      <c r="T52" s="39"/>
      <c r="U52" s="106" t="str">
        <f>IF([12]回答表!AD41="○",[12]回答表!B96,"")</f>
        <v/>
      </c>
      <c r="V52" s="107"/>
      <c r="W52" s="107"/>
      <c r="X52" s="107"/>
      <c r="Y52" s="107"/>
      <c r="Z52" s="107"/>
      <c r="AA52" s="107"/>
      <c r="AB52" s="107"/>
      <c r="AC52" s="107"/>
      <c r="AD52" s="107"/>
      <c r="AE52" s="107"/>
      <c r="AF52" s="107"/>
      <c r="AG52" s="107"/>
      <c r="AH52" s="107"/>
      <c r="AI52" s="107"/>
      <c r="AJ52" s="108"/>
      <c r="AK52" s="56"/>
      <c r="AL52" s="56"/>
      <c r="AM52" s="106" t="str">
        <f>IF([12]回答表!AD41="○",[12]回答表!B101,"")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IF([12]回答表!X42="○","○","")</f>
        <v/>
      </c>
      <c r="O63" s="98"/>
      <c r="P63" s="98"/>
      <c r="Q63" s="99"/>
      <c r="R63" s="39"/>
      <c r="S63" s="39"/>
      <c r="T63" s="39"/>
      <c r="U63" s="106" t="str">
        <f>IF([12]回答表!X42="○",[12]回答表!B111,IF([12]回答表!AA42="○",[12]回答表!B124,""))</f>
        <v/>
      </c>
      <c r="V63" s="107"/>
      <c r="W63" s="107"/>
      <c r="X63" s="107"/>
      <c r="Y63" s="107"/>
      <c r="Z63" s="107"/>
      <c r="AA63" s="107"/>
      <c r="AB63" s="107"/>
      <c r="AC63" s="107"/>
      <c r="AD63" s="107"/>
      <c r="AE63" s="107"/>
      <c r="AF63" s="107"/>
      <c r="AG63" s="107"/>
      <c r="AH63" s="107"/>
      <c r="AI63" s="107"/>
      <c r="AJ63" s="108"/>
      <c r="AK63" s="50"/>
      <c r="AL63" s="50"/>
      <c r="AM63" s="212" t="s">
        <v>37</v>
      </c>
      <c r="AN63" s="212"/>
      <c r="AO63" s="212"/>
      <c r="AP63" s="212"/>
      <c r="AQ63" s="212"/>
      <c r="AR63" s="212"/>
      <c r="AS63" s="212"/>
      <c r="AT63" s="212"/>
      <c r="AU63" s="212" t="s">
        <v>38</v>
      </c>
      <c r="AV63" s="212"/>
      <c r="AW63" s="212"/>
      <c r="AX63" s="212"/>
      <c r="AY63" s="212"/>
      <c r="AZ63" s="212"/>
      <c r="BA63" s="212"/>
      <c r="BB63" s="212"/>
      <c r="BC63" s="40"/>
      <c r="BD63" s="35"/>
      <c r="BE63" s="115" t="str">
        <f>IF([12]回答表!X42="○",[12]回答表!S117,IF([12]回答表!AA42="○",[12]回答表!S130,""))</f>
        <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212"/>
      <c r="AN64" s="212"/>
      <c r="AO64" s="212"/>
      <c r="AP64" s="212"/>
      <c r="AQ64" s="212"/>
      <c r="AR64" s="212"/>
      <c r="AS64" s="212"/>
      <c r="AT64" s="212"/>
      <c r="AU64" s="212"/>
      <c r="AV64" s="212"/>
      <c r="AW64" s="212"/>
      <c r="AX64" s="212"/>
      <c r="AY64" s="212"/>
      <c r="AZ64" s="212"/>
      <c r="BA64" s="212"/>
      <c r="BB64" s="212"/>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212"/>
      <c r="AN65" s="212"/>
      <c r="AO65" s="212"/>
      <c r="AP65" s="212"/>
      <c r="AQ65" s="212"/>
      <c r="AR65" s="212"/>
      <c r="AS65" s="212"/>
      <c r="AT65" s="212"/>
      <c r="AU65" s="212"/>
      <c r="AV65" s="212"/>
      <c r="AW65" s="212"/>
      <c r="AX65" s="212"/>
      <c r="AY65" s="212"/>
      <c r="AZ65" s="212"/>
      <c r="BA65" s="212"/>
      <c r="BB65" s="212"/>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IF([12]回答表!X42="○",[12]回答表!J117,IF([12]回答表!AA42="○",[12]回答表!J130,""))</f>
        <v/>
      </c>
      <c r="AN66" s="119"/>
      <c r="AO66" s="119"/>
      <c r="AP66" s="119"/>
      <c r="AQ66" s="119"/>
      <c r="AR66" s="119"/>
      <c r="AS66" s="119"/>
      <c r="AT66" s="120"/>
      <c r="AU66" s="118" t="str">
        <f>IF([12]回答表!X42="○",[12]回答表!J118,IF([12]回答表!AA42="○",[12]回答表!J131,""))</f>
        <v/>
      </c>
      <c r="AV66" s="119"/>
      <c r="AW66" s="119"/>
      <c r="AX66" s="119"/>
      <c r="AY66" s="119"/>
      <c r="AZ66" s="119"/>
      <c r="BA66" s="119"/>
      <c r="BB66" s="120"/>
      <c r="BC66" s="40"/>
      <c r="BD66" s="35"/>
      <c r="BE66" s="82" t="str">
        <f>IF([12]回答表!X42="○",[12]回答表!V117,IF([12]回答表!AA42="○",[12]回答表!V130,""))</f>
        <v/>
      </c>
      <c r="BF66" s="83"/>
      <c r="BG66" s="83"/>
      <c r="BH66" s="83"/>
      <c r="BI66" s="82" t="str">
        <f>IF([12]回答表!X42="○",[12]回答表!V118,IF([12]回答表!AA42="○",[12]回答表!V131,""))</f>
        <v/>
      </c>
      <c r="BJ66" s="83"/>
      <c r="BK66" s="83"/>
      <c r="BL66" s="83"/>
      <c r="BM66" s="82" t="str">
        <f>IF([12]回答表!X42="○",[12]回答表!V119,IF([12]回答表!AA42="○",[12]回答表!V132,""))</f>
        <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IF([12]回答表!AA42="○","○","")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IF([12]回答表!AD42="○","○","")</f>
        <v/>
      </c>
      <c r="O75" s="98"/>
      <c r="P75" s="98"/>
      <c r="Q75" s="99"/>
      <c r="R75" s="39"/>
      <c r="S75" s="39"/>
      <c r="T75" s="39"/>
      <c r="U75" s="106" t="str">
        <f>IF([12]回答表!AD42="○",[12]回答表!B137,"")</f>
        <v/>
      </c>
      <c r="V75" s="107"/>
      <c r="W75" s="107"/>
      <c r="X75" s="107"/>
      <c r="Y75" s="107"/>
      <c r="Z75" s="107"/>
      <c r="AA75" s="107"/>
      <c r="AB75" s="107"/>
      <c r="AC75" s="107"/>
      <c r="AD75" s="107"/>
      <c r="AE75" s="107"/>
      <c r="AF75" s="107"/>
      <c r="AG75" s="107"/>
      <c r="AH75" s="107"/>
      <c r="AI75" s="107"/>
      <c r="AJ75" s="108"/>
      <c r="AK75" s="56"/>
      <c r="AL75" s="56"/>
      <c r="AM75" s="106" t="str">
        <f>IF([12]回答表!AD42="○",[12]回答表!B143,"")</f>
        <v/>
      </c>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8"/>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109"/>
      <c r="V76" s="110"/>
      <c r="W76" s="110"/>
      <c r="X76" s="110"/>
      <c r="Y76" s="110"/>
      <c r="Z76" s="110"/>
      <c r="AA76" s="110"/>
      <c r="AB76" s="110"/>
      <c r="AC76" s="110"/>
      <c r="AD76" s="110"/>
      <c r="AE76" s="110"/>
      <c r="AF76" s="110"/>
      <c r="AG76" s="110"/>
      <c r="AH76" s="110"/>
      <c r="AI76" s="110"/>
      <c r="AJ76" s="111"/>
      <c r="AK76" s="56"/>
      <c r="AL76" s="56"/>
      <c r="AM76" s="109"/>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1"/>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109"/>
      <c r="V77" s="110"/>
      <c r="W77" s="110"/>
      <c r="X77" s="110"/>
      <c r="Y77" s="110"/>
      <c r="Z77" s="110"/>
      <c r="AA77" s="110"/>
      <c r="AB77" s="110"/>
      <c r="AC77" s="110"/>
      <c r="AD77" s="110"/>
      <c r="AE77" s="110"/>
      <c r="AF77" s="110"/>
      <c r="AG77" s="110"/>
      <c r="AH77" s="110"/>
      <c r="AI77" s="110"/>
      <c r="AJ77" s="111"/>
      <c r="AK77" s="56"/>
      <c r="AL77" s="56"/>
      <c r="AM77" s="109"/>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1"/>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112"/>
      <c r="V78" s="113"/>
      <c r="W78" s="113"/>
      <c r="X78" s="113"/>
      <c r="Y78" s="113"/>
      <c r="Z78" s="113"/>
      <c r="AA78" s="113"/>
      <c r="AB78" s="113"/>
      <c r="AC78" s="113"/>
      <c r="AD78" s="113"/>
      <c r="AE78" s="113"/>
      <c r="AF78" s="113"/>
      <c r="AG78" s="113"/>
      <c r="AH78" s="113"/>
      <c r="AI78" s="113"/>
      <c r="AJ78" s="114"/>
      <c r="AK78" s="56"/>
      <c r="AL78" s="56"/>
      <c r="AM78" s="112"/>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4"/>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62"/>
      <c r="AS81" s="162"/>
      <c r="AT81" s="162"/>
      <c r="AU81" s="162"/>
      <c r="AV81" s="162"/>
      <c r="AW81" s="162"/>
      <c r="AX81" s="162"/>
      <c r="AY81" s="162"/>
      <c r="AZ81" s="162"/>
      <c r="BA81" s="162"/>
      <c r="BB81" s="162"/>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87"/>
      <c r="AS82" s="187"/>
      <c r="AT82" s="187"/>
      <c r="AU82" s="187"/>
      <c r="AV82" s="187"/>
      <c r="AW82" s="187"/>
      <c r="AX82" s="187"/>
      <c r="AY82" s="187"/>
      <c r="AZ82" s="187"/>
      <c r="BA82" s="187"/>
      <c r="BB82" s="187"/>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81" t="s">
        <v>18</v>
      </c>
      <c r="E87" s="181"/>
      <c r="F87" s="181"/>
      <c r="G87" s="181"/>
      <c r="H87" s="181"/>
      <c r="I87" s="181"/>
      <c r="J87" s="181"/>
      <c r="K87" s="181"/>
      <c r="L87" s="181"/>
      <c r="M87" s="181"/>
      <c r="N87" s="97" t="str">
        <f>IF([12]回答表!F17="水道事業",IF([12]回答表!X43="○","○",""),"")</f>
        <v/>
      </c>
      <c r="O87" s="98"/>
      <c r="P87" s="98"/>
      <c r="Q87" s="99"/>
      <c r="R87" s="39"/>
      <c r="S87" s="39"/>
      <c r="T87" s="39"/>
      <c r="U87" s="188" t="s">
        <v>41</v>
      </c>
      <c r="V87" s="189"/>
      <c r="W87" s="189"/>
      <c r="X87" s="189"/>
      <c r="Y87" s="189"/>
      <c r="Z87" s="189"/>
      <c r="AA87" s="189"/>
      <c r="AB87" s="189"/>
      <c r="AC87" s="188" t="s">
        <v>42</v>
      </c>
      <c r="AD87" s="189"/>
      <c r="AE87" s="189"/>
      <c r="AF87" s="189"/>
      <c r="AG87" s="189"/>
      <c r="AH87" s="189"/>
      <c r="AI87" s="189"/>
      <c r="AJ87" s="198"/>
      <c r="AK87" s="50"/>
      <c r="AL87" s="50"/>
      <c r="AM87" s="106" t="str">
        <f>IF([12]回答表!F17="水道事業",IF([12]回答表!X43="○",[12]回答表!B154,IF([12]回答表!AA43="○",[12]回答表!B201,"")),"")</f>
        <v/>
      </c>
      <c r="AN87" s="107"/>
      <c r="AO87" s="107"/>
      <c r="AP87" s="107"/>
      <c r="AQ87" s="107"/>
      <c r="AR87" s="107"/>
      <c r="AS87" s="107"/>
      <c r="AT87" s="107"/>
      <c r="AU87" s="107"/>
      <c r="AV87" s="107"/>
      <c r="AW87" s="107"/>
      <c r="AX87" s="107"/>
      <c r="AY87" s="107"/>
      <c r="AZ87" s="107"/>
      <c r="BA87" s="107"/>
      <c r="BB87" s="108"/>
      <c r="BC87" s="40"/>
      <c r="BD87" s="35"/>
      <c r="BE87" s="115" t="str">
        <f>IF([12]回答表!F17="水道事業",IF([12]回答表!X43="○",[12]回答表!B190,IF([12]回答表!AA43="○",[12]回答表!B238,"")),"")</f>
        <v/>
      </c>
      <c r="BF87" s="116"/>
      <c r="BG87" s="116"/>
      <c r="BH87" s="116"/>
      <c r="BI87" s="115"/>
      <c r="BJ87" s="116"/>
      <c r="BK87" s="116"/>
      <c r="BL87" s="116"/>
      <c r="BM87" s="115"/>
      <c r="BN87" s="116"/>
      <c r="BO87" s="116"/>
      <c r="BP87" s="117"/>
      <c r="BQ87" s="38"/>
    </row>
    <row r="88" spans="3:69" ht="19.350000000000001" customHeight="1" x14ac:dyDescent="0.4">
      <c r="C88" s="33"/>
      <c r="D88" s="181"/>
      <c r="E88" s="181"/>
      <c r="F88" s="181"/>
      <c r="G88" s="181"/>
      <c r="H88" s="181"/>
      <c r="I88" s="181"/>
      <c r="J88" s="181"/>
      <c r="K88" s="181"/>
      <c r="L88" s="181"/>
      <c r="M88" s="181"/>
      <c r="N88" s="100"/>
      <c r="O88" s="101"/>
      <c r="P88" s="101"/>
      <c r="Q88" s="102"/>
      <c r="R88" s="39"/>
      <c r="S88" s="39"/>
      <c r="T88" s="39"/>
      <c r="U88" s="190"/>
      <c r="V88" s="191"/>
      <c r="W88" s="191"/>
      <c r="X88" s="191"/>
      <c r="Y88" s="191"/>
      <c r="Z88" s="191"/>
      <c r="AA88" s="191"/>
      <c r="AB88" s="191"/>
      <c r="AC88" s="190"/>
      <c r="AD88" s="191"/>
      <c r="AE88" s="191"/>
      <c r="AF88" s="191"/>
      <c r="AG88" s="191"/>
      <c r="AH88" s="191"/>
      <c r="AI88" s="191"/>
      <c r="AJ88" s="199"/>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81"/>
      <c r="E89" s="181"/>
      <c r="F89" s="181"/>
      <c r="G89" s="181"/>
      <c r="H89" s="181"/>
      <c r="I89" s="181"/>
      <c r="J89" s="181"/>
      <c r="K89" s="181"/>
      <c r="L89" s="181"/>
      <c r="M89" s="181"/>
      <c r="N89" s="100"/>
      <c r="O89" s="101"/>
      <c r="P89" s="101"/>
      <c r="Q89" s="102"/>
      <c r="R89" s="39"/>
      <c r="S89" s="39"/>
      <c r="T89" s="39"/>
      <c r="U89" s="118" t="str">
        <f>IF([12]回答表!F17="水道事業",IF([12]回答表!X43="○",[12]回答表!J162,IF([12]回答表!AA43="○",[12]回答表!J209,"")),"")</f>
        <v/>
      </c>
      <c r="V89" s="119"/>
      <c r="W89" s="119"/>
      <c r="X89" s="119"/>
      <c r="Y89" s="119"/>
      <c r="Z89" s="119"/>
      <c r="AA89" s="119"/>
      <c r="AB89" s="120"/>
      <c r="AC89" s="118" t="str">
        <f>IF([12]回答表!F17="水道事業",IF([12]回答表!X43="○",[12]回答表!J169,IF([12]回答表!AA43="○",[12]回答表!J216,"")),"")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81"/>
      <c r="E90" s="181"/>
      <c r="F90" s="181"/>
      <c r="G90" s="181"/>
      <c r="H90" s="181"/>
      <c r="I90" s="181"/>
      <c r="J90" s="181"/>
      <c r="K90" s="181"/>
      <c r="L90" s="181"/>
      <c r="M90" s="181"/>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IF([12]回答表!F17="水道事業",IF([12]回答表!X43="○",[12]回答表!E190,IF([12]回答表!AA43="○",[12]回答表!E238,"")),"")</f>
        <v/>
      </c>
      <c r="BF90" s="83"/>
      <c r="BG90" s="83"/>
      <c r="BH90" s="83"/>
      <c r="BI90" s="82" t="str">
        <f>IF([12]回答表!F17="水道事業",IF([12]回答表!X43="○",[12]回答表!E191,IF([12]回答表!AA43="○",[12]回答表!E239,"")),"")</f>
        <v/>
      </c>
      <c r="BJ90" s="83"/>
      <c r="BK90" s="83"/>
      <c r="BL90" s="83"/>
      <c r="BM90" s="82" t="str">
        <f>IF([12]回答表!F17="水道事業",IF([12]回答表!X43="○",[12]回答表!E192,IF([12]回答表!AA43="○",[12]回答表!E240,"")),"")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88" t="s">
        <v>43</v>
      </c>
      <c r="V92" s="189"/>
      <c r="W92" s="189"/>
      <c r="X92" s="189"/>
      <c r="Y92" s="189"/>
      <c r="Z92" s="189"/>
      <c r="AA92" s="189"/>
      <c r="AB92" s="189"/>
      <c r="AC92" s="188" t="s">
        <v>44</v>
      </c>
      <c r="AD92" s="189"/>
      <c r="AE92" s="189"/>
      <c r="AF92" s="189"/>
      <c r="AG92" s="189"/>
      <c r="AH92" s="189"/>
      <c r="AI92" s="189"/>
      <c r="AJ92" s="198"/>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86" t="s">
        <v>26</v>
      </c>
      <c r="E93" s="181"/>
      <c r="F93" s="181"/>
      <c r="G93" s="181"/>
      <c r="H93" s="181"/>
      <c r="I93" s="181"/>
      <c r="J93" s="181"/>
      <c r="K93" s="181"/>
      <c r="L93" s="181"/>
      <c r="M93" s="182"/>
      <c r="N93" s="97" t="str">
        <f>IF([12]回答表!F17="水道事業",IF([12]回答表!AA43="○","○",""),"")</f>
        <v/>
      </c>
      <c r="O93" s="98"/>
      <c r="P93" s="98"/>
      <c r="Q93" s="99"/>
      <c r="R93" s="39"/>
      <c r="S93" s="39"/>
      <c r="T93" s="39"/>
      <c r="U93" s="190"/>
      <c r="V93" s="191"/>
      <c r="W93" s="191"/>
      <c r="X93" s="191"/>
      <c r="Y93" s="191"/>
      <c r="Z93" s="191"/>
      <c r="AA93" s="191"/>
      <c r="AB93" s="191"/>
      <c r="AC93" s="190"/>
      <c r="AD93" s="191"/>
      <c r="AE93" s="191"/>
      <c r="AF93" s="191"/>
      <c r="AG93" s="191"/>
      <c r="AH93" s="191"/>
      <c r="AI93" s="191"/>
      <c r="AJ93" s="199"/>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81"/>
      <c r="E94" s="181"/>
      <c r="F94" s="181"/>
      <c r="G94" s="181"/>
      <c r="H94" s="181"/>
      <c r="I94" s="181"/>
      <c r="J94" s="181"/>
      <c r="K94" s="181"/>
      <c r="L94" s="181"/>
      <c r="M94" s="182"/>
      <c r="N94" s="100"/>
      <c r="O94" s="101"/>
      <c r="P94" s="101"/>
      <c r="Q94" s="102"/>
      <c r="R94" s="39"/>
      <c r="S94" s="39"/>
      <c r="T94" s="39"/>
      <c r="U94" s="118" t="str">
        <f>IF([12]回答表!F17="水道事業",IF([12]回答表!X43="○",[12]回答表!J172,IF([12]回答表!AA43="○",[12]回答表!J219,"")),"")</f>
        <v/>
      </c>
      <c r="V94" s="119"/>
      <c r="W94" s="119"/>
      <c r="X94" s="119"/>
      <c r="Y94" s="119"/>
      <c r="Z94" s="119"/>
      <c r="AA94" s="119"/>
      <c r="AB94" s="120"/>
      <c r="AC94" s="118" t="str">
        <f>IF([12]回答表!F17="水道事業",IF([12]回答表!X43="○",[12]回答表!J176,IF([12]回答表!AA43="○",[12]回答表!J223,"")),"")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81"/>
      <c r="E95" s="181"/>
      <c r="F95" s="181"/>
      <c r="G95" s="181"/>
      <c r="H95" s="181"/>
      <c r="I95" s="181"/>
      <c r="J95" s="181"/>
      <c r="K95" s="181"/>
      <c r="L95" s="181"/>
      <c r="M95" s="182"/>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81"/>
      <c r="E96" s="181"/>
      <c r="F96" s="181"/>
      <c r="G96" s="181"/>
      <c r="H96" s="181"/>
      <c r="I96" s="181"/>
      <c r="J96" s="181"/>
      <c r="K96" s="181"/>
      <c r="L96" s="181"/>
      <c r="M96" s="182"/>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81" t="s">
        <v>34</v>
      </c>
      <c r="E99" s="181"/>
      <c r="F99" s="181"/>
      <c r="G99" s="181"/>
      <c r="H99" s="181"/>
      <c r="I99" s="181"/>
      <c r="J99" s="181"/>
      <c r="K99" s="181"/>
      <c r="L99" s="181"/>
      <c r="M99" s="182"/>
      <c r="N99" s="97" t="str">
        <f>IF([12]回答表!F17="水道事業",IF([12]回答表!AD43="○","○",""),"")</f>
        <v/>
      </c>
      <c r="O99" s="98"/>
      <c r="P99" s="98"/>
      <c r="Q99" s="99"/>
      <c r="R99" s="39"/>
      <c r="S99" s="39"/>
      <c r="T99" s="39"/>
      <c r="U99" s="106" t="str">
        <f>IF([12]回答表!F17="水道事業",IF([12]回答表!AD43="○",[12]回答表!B249,""),"")</f>
        <v/>
      </c>
      <c r="V99" s="107"/>
      <c r="W99" s="107"/>
      <c r="X99" s="107"/>
      <c r="Y99" s="107"/>
      <c r="Z99" s="107"/>
      <c r="AA99" s="107"/>
      <c r="AB99" s="107"/>
      <c r="AC99" s="107"/>
      <c r="AD99" s="107"/>
      <c r="AE99" s="107"/>
      <c r="AF99" s="107"/>
      <c r="AG99" s="107"/>
      <c r="AH99" s="107"/>
      <c r="AI99" s="107"/>
      <c r="AJ99" s="108"/>
      <c r="AK99" s="56"/>
      <c r="AL99" s="56"/>
      <c r="AM99" s="106" t="str">
        <f>IF([12]回答表!F17="水道事業",IF([12]回答表!AD43="○",[12]回答表!B255,""),"")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81"/>
      <c r="E100" s="181"/>
      <c r="F100" s="181"/>
      <c r="G100" s="181"/>
      <c r="H100" s="181"/>
      <c r="I100" s="181"/>
      <c r="J100" s="181"/>
      <c r="K100" s="181"/>
      <c r="L100" s="181"/>
      <c r="M100" s="182"/>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81"/>
      <c r="E101" s="181"/>
      <c r="F101" s="181"/>
      <c r="G101" s="181"/>
      <c r="H101" s="181"/>
      <c r="I101" s="181"/>
      <c r="J101" s="181"/>
      <c r="K101" s="181"/>
      <c r="L101" s="181"/>
      <c r="M101" s="182"/>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81"/>
      <c r="E102" s="181"/>
      <c r="F102" s="181"/>
      <c r="G102" s="181"/>
      <c r="H102" s="181"/>
      <c r="I102" s="181"/>
      <c r="J102" s="181"/>
      <c r="K102" s="181"/>
      <c r="L102" s="181"/>
      <c r="M102" s="182"/>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62"/>
      <c r="AS105" s="162"/>
      <c r="AT105" s="162"/>
      <c r="AU105" s="162"/>
      <c r="AV105" s="162"/>
      <c r="AW105" s="162"/>
      <c r="AX105" s="162"/>
      <c r="AY105" s="162"/>
      <c r="AZ105" s="162"/>
      <c r="BA105" s="162"/>
      <c r="BB105" s="162"/>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87"/>
      <c r="AS106" s="187"/>
      <c r="AT106" s="187"/>
      <c r="AU106" s="187"/>
      <c r="AV106" s="187"/>
      <c r="AW106" s="187"/>
      <c r="AX106" s="187"/>
      <c r="AY106" s="187"/>
      <c r="AZ106" s="187"/>
      <c r="BA106" s="187"/>
      <c r="BB106" s="187"/>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81" t="s">
        <v>18</v>
      </c>
      <c r="E111" s="181"/>
      <c r="F111" s="181"/>
      <c r="G111" s="181"/>
      <c r="H111" s="181"/>
      <c r="I111" s="181"/>
      <c r="J111" s="181"/>
      <c r="K111" s="181"/>
      <c r="L111" s="181"/>
      <c r="M111" s="181"/>
      <c r="N111" s="97" t="str">
        <f>IF([12]回答表!F17="簡易水道事業",IF([12]回答表!X43="○","○",""),"")</f>
        <v/>
      </c>
      <c r="O111" s="98"/>
      <c r="P111" s="98"/>
      <c r="Q111" s="99"/>
      <c r="R111" s="39"/>
      <c r="S111" s="39"/>
      <c r="T111" s="39"/>
      <c r="U111" s="188" t="s">
        <v>46</v>
      </c>
      <c r="V111" s="189"/>
      <c r="W111" s="189"/>
      <c r="X111" s="189"/>
      <c r="Y111" s="189"/>
      <c r="Z111" s="189"/>
      <c r="AA111" s="189"/>
      <c r="AB111" s="189"/>
      <c r="AC111" s="189"/>
      <c r="AD111" s="189"/>
      <c r="AE111" s="189"/>
      <c r="AF111" s="189"/>
      <c r="AG111" s="189"/>
      <c r="AH111" s="189"/>
      <c r="AI111" s="189"/>
      <c r="AJ111" s="198"/>
      <c r="AK111" s="50"/>
      <c r="AL111" s="50"/>
      <c r="AM111" s="106" t="str">
        <f>IF([12]回答表!F17="簡易水道事業",IF([12]回答表!X43="○",[12]回答表!B154,IF([12]回答表!AA43="○",[12]回答表!B201,"")),"")</f>
        <v/>
      </c>
      <c r="AN111" s="107"/>
      <c r="AO111" s="107"/>
      <c r="AP111" s="107"/>
      <c r="AQ111" s="107"/>
      <c r="AR111" s="107"/>
      <c r="AS111" s="107"/>
      <c r="AT111" s="107"/>
      <c r="AU111" s="107"/>
      <c r="AV111" s="107"/>
      <c r="AW111" s="107"/>
      <c r="AX111" s="107"/>
      <c r="AY111" s="107"/>
      <c r="AZ111" s="107"/>
      <c r="BA111" s="107"/>
      <c r="BB111" s="108"/>
      <c r="BC111" s="40"/>
      <c r="BD111" s="35"/>
      <c r="BE111" s="115" t="str">
        <f>IF([12]回答表!F17="簡易水道事業",IF([12]回答表!X43="○",[12]回答表!B190,IF([12]回答表!AA43="○",[12]回答表!B238,"")),"")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81"/>
      <c r="E112" s="181"/>
      <c r="F112" s="181"/>
      <c r="G112" s="181"/>
      <c r="H112" s="181"/>
      <c r="I112" s="181"/>
      <c r="J112" s="181"/>
      <c r="K112" s="181"/>
      <c r="L112" s="181"/>
      <c r="M112" s="181"/>
      <c r="N112" s="100"/>
      <c r="O112" s="101"/>
      <c r="P112" s="101"/>
      <c r="Q112" s="102"/>
      <c r="R112" s="39"/>
      <c r="S112" s="39"/>
      <c r="T112" s="39"/>
      <c r="U112" s="200"/>
      <c r="V112" s="201"/>
      <c r="W112" s="201"/>
      <c r="X112" s="201"/>
      <c r="Y112" s="201"/>
      <c r="Z112" s="201"/>
      <c r="AA112" s="201"/>
      <c r="AB112" s="201"/>
      <c r="AC112" s="201"/>
      <c r="AD112" s="201"/>
      <c r="AE112" s="201"/>
      <c r="AF112" s="201"/>
      <c r="AG112" s="201"/>
      <c r="AH112" s="201"/>
      <c r="AI112" s="201"/>
      <c r="AJ112" s="202"/>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81"/>
      <c r="E113" s="181"/>
      <c r="F113" s="181"/>
      <c r="G113" s="181"/>
      <c r="H113" s="181"/>
      <c r="I113" s="181"/>
      <c r="J113" s="181"/>
      <c r="K113" s="181"/>
      <c r="L113" s="181"/>
      <c r="M113" s="181"/>
      <c r="N113" s="100"/>
      <c r="O113" s="101"/>
      <c r="P113" s="101"/>
      <c r="Q113" s="102"/>
      <c r="R113" s="39"/>
      <c r="S113" s="39"/>
      <c r="T113" s="39"/>
      <c r="U113" s="118" t="str">
        <f>IF([12]回答表!F17="簡易水道事業",IF([12]回答表!X43="○",[12]回答表!Y181,IF([12]回答表!AA43="○",[12]回答表!Y229,"")),"")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81"/>
      <c r="E114" s="181"/>
      <c r="F114" s="181"/>
      <c r="G114" s="181"/>
      <c r="H114" s="181"/>
      <c r="I114" s="181"/>
      <c r="J114" s="181"/>
      <c r="K114" s="181"/>
      <c r="L114" s="181"/>
      <c r="M114" s="181"/>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IF([12]回答表!F17="簡易水道事業",IF([12]回答表!X43="○",[12]回答表!E190,IF([12]回答表!AA43="○",[12]回答表!E238,"")),"")</f>
        <v/>
      </c>
      <c r="BF114" s="83"/>
      <c r="BG114" s="83"/>
      <c r="BH114" s="83"/>
      <c r="BI114" s="82" t="str">
        <f>IF([12]回答表!F17="簡易水道事業",IF([12]回答表!X43="○",[12]回答表!E191,IF([12]回答表!AA43="○",[12]回答表!E239,"")),"")</f>
        <v/>
      </c>
      <c r="BJ114" s="83"/>
      <c r="BK114" s="83"/>
      <c r="BL114" s="83"/>
      <c r="BM114" s="82" t="str">
        <f>IF([12]回答表!F17="簡易水道事業",IF([12]回答表!X43="○",[12]回答表!E192,IF([12]回答表!AA43="○",[12]回答表!E240,"")),"")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88" t="s">
        <v>47</v>
      </c>
      <c r="V116" s="189"/>
      <c r="W116" s="189"/>
      <c r="X116" s="189"/>
      <c r="Y116" s="189"/>
      <c r="Z116" s="189"/>
      <c r="AA116" s="189"/>
      <c r="AB116" s="189"/>
      <c r="AC116" s="189"/>
      <c r="AD116" s="189"/>
      <c r="AE116" s="189"/>
      <c r="AF116" s="189"/>
      <c r="AG116" s="189"/>
      <c r="AH116" s="189"/>
      <c r="AI116" s="189"/>
      <c r="AJ116" s="198"/>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86" t="s">
        <v>26</v>
      </c>
      <c r="E117" s="181"/>
      <c r="F117" s="181"/>
      <c r="G117" s="181"/>
      <c r="H117" s="181"/>
      <c r="I117" s="181"/>
      <c r="J117" s="181"/>
      <c r="K117" s="181"/>
      <c r="L117" s="181"/>
      <c r="M117" s="182"/>
      <c r="N117" s="97" t="str">
        <f>IF([12]回答表!F17="簡易水道事業",IF([12]回答表!AA43="○","○",""),"")</f>
        <v/>
      </c>
      <c r="O117" s="98"/>
      <c r="P117" s="98"/>
      <c r="Q117" s="99"/>
      <c r="R117" s="39"/>
      <c r="S117" s="39"/>
      <c r="T117" s="39"/>
      <c r="U117" s="200"/>
      <c r="V117" s="201"/>
      <c r="W117" s="201"/>
      <c r="X117" s="201"/>
      <c r="Y117" s="201"/>
      <c r="Z117" s="201"/>
      <c r="AA117" s="201"/>
      <c r="AB117" s="201"/>
      <c r="AC117" s="201"/>
      <c r="AD117" s="201"/>
      <c r="AE117" s="201"/>
      <c r="AF117" s="201"/>
      <c r="AG117" s="201"/>
      <c r="AH117" s="201"/>
      <c r="AI117" s="201"/>
      <c r="AJ117" s="202"/>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81"/>
      <c r="E118" s="181"/>
      <c r="F118" s="181"/>
      <c r="G118" s="181"/>
      <c r="H118" s="181"/>
      <c r="I118" s="181"/>
      <c r="J118" s="181"/>
      <c r="K118" s="181"/>
      <c r="L118" s="181"/>
      <c r="M118" s="182"/>
      <c r="N118" s="100"/>
      <c r="O118" s="101"/>
      <c r="P118" s="101"/>
      <c r="Q118" s="102"/>
      <c r="R118" s="39"/>
      <c r="S118" s="39"/>
      <c r="T118" s="39"/>
      <c r="U118" s="118" t="str">
        <f>IF([12]回答表!F17="簡易水道事業",IF([12]回答表!X43="○",[12]回答表!Y182,IF([12]回答表!AA43="○",[12]回答表!Y230,"")),"")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81"/>
      <c r="E119" s="181"/>
      <c r="F119" s="181"/>
      <c r="G119" s="181"/>
      <c r="H119" s="181"/>
      <c r="I119" s="181"/>
      <c r="J119" s="181"/>
      <c r="K119" s="181"/>
      <c r="L119" s="181"/>
      <c r="M119" s="182"/>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81"/>
      <c r="E120" s="181"/>
      <c r="F120" s="181"/>
      <c r="G120" s="181"/>
      <c r="H120" s="181"/>
      <c r="I120" s="181"/>
      <c r="J120" s="181"/>
      <c r="K120" s="181"/>
      <c r="L120" s="181"/>
      <c r="M120" s="182"/>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81" t="s">
        <v>34</v>
      </c>
      <c r="E123" s="181"/>
      <c r="F123" s="181"/>
      <c r="G123" s="181"/>
      <c r="H123" s="181"/>
      <c r="I123" s="181"/>
      <c r="J123" s="181"/>
      <c r="K123" s="181"/>
      <c r="L123" s="181"/>
      <c r="M123" s="182"/>
      <c r="N123" s="97" t="str">
        <f>IF([12]回答表!F17="簡易水道事業",IF([12]回答表!AD43="○","○",""),"")</f>
        <v/>
      </c>
      <c r="O123" s="98"/>
      <c r="P123" s="98"/>
      <c r="Q123" s="99"/>
      <c r="R123" s="39"/>
      <c r="S123" s="39"/>
      <c r="T123" s="39"/>
      <c r="U123" s="106" t="str">
        <f>IF([12]回答表!F17="簡易水道事業",IF([12]回答表!AD43="○",[12]回答表!B249,""),"")</f>
        <v/>
      </c>
      <c r="V123" s="107"/>
      <c r="W123" s="107"/>
      <c r="X123" s="107"/>
      <c r="Y123" s="107"/>
      <c r="Z123" s="107"/>
      <c r="AA123" s="107"/>
      <c r="AB123" s="107"/>
      <c r="AC123" s="107"/>
      <c r="AD123" s="107"/>
      <c r="AE123" s="107"/>
      <c r="AF123" s="107"/>
      <c r="AG123" s="107"/>
      <c r="AH123" s="107"/>
      <c r="AI123" s="107"/>
      <c r="AJ123" s="108"/>
      <c r="AK123" s="56"/>
      <c r="AL123" s="56"/>
      <c r="AM123" s="106" t="str">
        <f>IF([12]回答表!F17="簡易水道事業",IF([12]回答表!AD43="○",[12]回答表!B255,""),"")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81"/>
      <c r="E124" s="181"/>
      <c r="F124" s="181"/>
      <c r="G124" s="181"/>
      <c r="H124" s="181"/>
      <c r="I124" s="181"/>
      <c r="J124" s="181"/>
      <c r="K124" s="181"/>
      <c r="L124" s="181"/>
      <c r="M124" s="182"/>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81"/>
      <c r="E125" s="181"/>
      <c r="F125" s="181"/>
      <c r="G125" s="181"/>
      <c r="H125" s="181"/>
      <c r="I125" s="181"/>
      <c r="J125" s="181"/>
      <c r="K125" s="181"/>
      <c r="L125" s="181"/>
      <c r="M125" s="182"/>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81"/>
      <c r="E126" s="181"/>
      <c r="F126" s="181"/>
      <c r="G126" s="181"/>
      <c r="H126" s="181"/>
      <c r="I126" s="181"/>
      <c r="J126" s="181"/>
      <c r="K126" s="181"/>
      <c r="L126" s="181"/>
      <c r="M126" s="182"/>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62"/>
      <c r="AS129" s="162"/>
      <c r="AT129" s="162"/>
      <c r="AU129" s="162"/>
      <c r="AV129" s="162"/>
      <c r="AW129" s="162"/>
      <c r="AX129" s="162"/>
      <c r="AY129" s="162"/>
      <c r="AZ129" s="162"/>
      <c r="BA129" s="162"/>
      <c r="BB129" s="162"/>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87"/>
      <c r="AS130" s="187"/>
      <c r="AT130" s="187"/>
      <c r="AU130" s="187"/>
      <c r="AV130" s="187"/>
      <c r="AW130" s="187"/>
      <c r="AX130" s="187"/>
      <c r="AY130" s="187"/>
      <c r="AZ130" s="187"/>
      <c r="BA130" s="187"/>
      <c r="BB130" s="187"/>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81" t="s">
        <v>18</v>
      </c>
      <c r="E135" s="181"/>
      <c r="F135" s="181"/>
      <c r="G135" s="181"/>
      <c r="H135" s="181"/>
      <c r="I135" s="181"/>
      <c r="J135" s="181"/>
      <c r="K135" s="181"/>
      <c r="L135" s="181"/>
      <c r="M135" s="181"/>
      <c r="N135" s="97" t="str">
        <f>IF([12]回答表!F17="下水道事業",IF([12]回答表!X43="○","○",""),"")</f>
        <v/>
      </c>
      <c r="O135" s="98"/>
      <c r="P135" s="98"/>
      <c r="Q135" s="99"/>
      <c r="R135" s="39"/>
      <c r="S135" s="39"/>
      <c r="T135" s="39"/>
      <c r="U135" s="188" t="s">
        <v>49</v>
      </c>
      <c r="V135" s="189"/>
      <c r="W135" s="189"/>
      <c r="X135" s="189"/>
      <c r="Y135" s="189"/>
      <c r="Z135" s="189"/>
      <c r="AA135" s="189"/>
      <c r="AB135" s="189"/>
      <c r="AC135" s="188" t="s">
        <v>50</v>
      </c>
      <c r="AD135" s="189"/>
      <c r="AE135" s="189"/>
      <c r="AF135" s="189"/>
      <c r="AG135" s="189"/>
      <c r="AH135" s="189"/>
      <c r="AI135" s="189"/>
      <c r="AJ135" s="198"/>
      <c r="AK135" s="50"/>
      <c r="AL135" s="50"/>
      <c r="AM135" s="106" t="str">
        <f>IF([12]回答表!F17="下水道事業",IF([12]回答表!X43="○",[12]回答表!B154,IF([12]回答表!AA43="○",[12]回答表!B201,"")),"")</f>
        <v/>
      </c>
      <c r="AN135" s="107"/>
      <c r="AO135" s="107"/>
      <c r="AP135" s="107"/>
      <c r="AQ135" s="107"/>
      <c r="AR135" s="107"/>
      <c r="AS135" s="107"/>
      <c r="AT135" s="107"/>
      <c r="AU135" s="107"/>
      <c r="AV135" s="107"/>
      <c r="AW135" s="107"/>
      <c r="AX135" s="107"/>
      <c r="AY135" s="107"/>
      <c r="AZ135" s="107"/>
      <c r="BA135" s="107"/>
      <c r="BB135" s="108"/>
      <c r="BC135" s="40"/>
      <c r="BD135" s="35"/>
      <c r="BE135" s="115" t="str">
        <f>IF([12]回答表!F17="下水道事業",IF([12]回答表!X43="○",[12]回答表!B190,IF([12]回答表!AA43="○",[12]回答表!B238,"")),"")</f>
        <v/>
      </c>
      <c r="BF135" s="116"/>
      <c r="BG135" s="116"/>
      <c r="BH135" s="116"/>
      <c r="BI135" s="115"/>
      <c r="BJ135" s="116"/>
      <c r="BK135" s="116"/>
      <c r="BL135" s="116"/>
      <c r="BM135" s="115"/>
      <c r="BN135" s="116"/>
      <c r="BO135" s="116"/>
      <c r="BP135" s="117"/>
      <c r="BQ135" s="38"/>
    </row>
    <row r="136" spans="3:69" ht="19.350000000000001" customHeight="1" x14ac:dyDescent="0.4">
      <c r="C136" s="33"/>
      <c r="D136" s="181"/>
      <c r="E136" s="181"/>
      <c r="F136" s="181"/>
      <c r="G136" s="181"/>
      <c r="H136" s="181"/>
      <c r="I136" s="181"/>
      <c r="J136" s="181"/>
      <c r="K136" s="181"/>
      <c r="L136" s="181"/>
      <c r="M136" s="181"/>
      <c r="N136" s="100"/>
      <c r="O136" s="101"/>
      <c r="P136" s="101"/>
      <c r="Q136" s="102"/>
      <c r="R136" s="39"/>
      <c r="S136" s="39"/>
      <c r="T136" s="39"/>
      <c r="U136" s="190"/>
      <c r="V136" s="191"/>
      <c r="W136" s="191"/>
      <c r="X136" s="191"/>
      <c r="Y136" s="191"/>
      <c r="Z136" s="191"/>
      <c r="AA136" s="191"/>
      <c r="AB136" s="191"/>
      <c r="AC136" s="190"/>
      <c r="AD136" s="191"/>
      <c r="AE136" s="191"/>
      <c r="AF136" s="191"/>
      <c r="AG136" s="191"/>
      <c r="AH136" s="191"/>
      <c r="AI136" s="191"/>
      <c r="AJ136" s="199"/>
      <c r="AK136" s="50"/>
      <c r="AL136" s="50"/>
      <c r="AM136" s="109"/>
      <c r="AN136" s="110"/>
      <c r="AO136" s="110"/>
      <c r="AP136" s="110"/>
      <c r="AQ136" s="110"/>
      <c r="AR136" s="110"/>
      <c r="AS136" s="110"/>
      <c r="AT136" s="110"/>
      <c r="AU136" s="110"/>
      <c r="AV136" s="110"/>
      <c r="AW136" s="110"/>
      <c r="AX136" s="110"/>
      <c r="AY136" s="110"/>
      <c r="AZ136" s="110"/>
      <c r="BA136" s="110"/>
      <c r="BB136" s="111"/>
      <c r="BC136" s="40"/>
      <c r="BD136" s="35"/>
      <c r="BE136" s="82"/>
      <c r="BF136" s="83"/>
      <c r="BG136" s="83"/>
      <c r="BH136" s="83"/>
      <c r="BI136" s="82"/>
      <c r="BJ136" s="83"/>
      <c r="BK136" s="83"/>
      <c r="BL136" s="83"/>
      <c r="BM136" s="82"/>
      <c r="BN136" s="83"/>
      <c r="BO136" s="83"/>
      <c r="BP136" s="86"/>
      <c r="BQ136" s="38"/>
    </row>
    <row r="137" spans="3:69" ht="15.6" customHeight="1" x14ac:dyDescent="0.4">
      <c r="C137" s="33"/>
      <c r="D137" s="181"/>
      <c r="E137" s="181"/>
      <c r="F137" s="181"/>
      <c r="G137" s="181"/>
      <c r="H137" s="181"/>
      <c r="I137" s="181"/>
      <c r="J137" s="181"/>
      <c r="K137" s="181"/>
      <c r="L137" s="181"/>
      <c r="M137" s="181"/>
      <c r="N137" s="100"/>
      <c r="O137" s="101"/>
      <c r="P137" s="101"/>
      <c r="Q137" s="102"/>
      <c r="R137" s="39"/>
      <c r="S137" s="39"/>
      <c r="T137" s="39"/>
      <c r="U137" s="118" t="str">
        <f>IF([12]回答表!F17="下水道事業",IF([12]回答表!X43="○",[12]回答表!Y184,IF([12]回答表!AA43="○",[12]回答表!Y232,"")),"")</f>
        <v/>
      </c>
      <c r="V137" s="119"/>
      <c r="W137" s="119"/>
      <c r="X137" s="119"/>
      <c r="Y137" s="119"/>
      <c r="Z137" s="119"/>
      <c r="AA137" s="119"/>
      <c r="AB137" s="120"/>
      <c r="AC137" s="118" t="str">
        <f>IF([12]回答表!F17="下水道事業",IF([12]回答表!X43="○",[12]回答表!Y185,IF([12]回答表!AA43="○",[12]回答表!Y233,"")),"")</f>
        <v/>
      </c>
      <c r="AD137" s="119"/>
      <c r="AE137" s="119"/>
      <c r="AF137" s="119"/>
      <c r="AG137" s="119"/>
      <c r="AH137" s="119"/>
      <c r="AI137" s="119"/>
      <c r="AJ137" s="120"/>
      <c r="AK137" s="50"/>
      <c r="AL137" s="50"/>
      <c r="AM137" s="109"/>
      <c r="AN137" s="110"/>
      <c r="AO137" s="110"/>
      <c r="AP137" s="110"/>
      <c r="AQ137" s="110"/>
      <c r="AR137" s="110"/>
      <c r="AS137" s="110"/>
      <c r="AT137" s="110"/>
      <c r="AU137" s="110"/>
      <c r="AV137" s="110"/>
      <c r="AW137" s="110"/>
      <c r="AX137" s="110"/>
      <c r="AY137" s="110"/>
      <c r="AZ137" s="110"/>
      <c r="BA137" s="110"/>
      <c r="BB137" s="111"/>
      <c r="BC137" s="40"/>
      <c r="BD137" s="35"/>
      <c r="BE137" s="82"/>
      <c r="BF137" s="83"/>
      <c r="BG137" s="83"/>
      <c r="BH137" s="83"/>
      <c r="BI137" s="82"/>
      <c r="BJ137" s="83"/>
      <c r="BK137" s="83"/>
      <c r="BL137" s="83"/>
      <c r="BM137" s="82"/>
      <c r="BN137" s="83"/>
      <c r="BO137" s="83"/>
      <c r="BP137" s="86"/>
      <c r="BQ137" s="38"/>
    </row>
    <row r="138" spans="3:69" ht="15.6" customHeight="1" x14ac:dyDescent="0.4">
      <c r="C138" s="33"/>
      <c r="D138" s="181"/>
      <c r="E138" s="181"/>
      <c r="F138" s="181"/>
      <c r="G138" s="181"/>
      <c r="H138" s="181"/>
      <c r="I138" s="181"/>
      <c r="J138" s="181"/>
      <c r="K138" s="181"/>
      <c r="L138" s="181"/>
      <c r="M138" s="181"/>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109"/>
      <c r="AN138" s="110"/>
      <c r="AO138" s="110"/>
      <c r="AP138" s="110"/>
      <c r="AQ138" s="110"/>
      <c r="AR138" s="110"/>
      <c r="AS138" s="110"/>
      <c r="AT138" s="110"/>
      <c r="AU138" s="110"/>
      <c r="AV138" s="110"/>
      <c r="AW138" s="110"/>
      <c r="AX138" s="110"/>
      <c r="AY138" s="110"/>
      <c r="AZ138" s="110"/>
      <c r="BA138" s="110"/>
      <c r="BB138" s="111"/>
      <c r="BC138" s="40"/>
      <c r="BD138" s="35"/>
      <c r="BE138" s="82" t="str">
        <f>IF([12]回答表!F17="下水道事業",IF([12]回答表!X43="○",[12]回答表!E190,IF([12]回答表!AA43="○",[12]回答表!E238,"")),"")</f>
        <v/>
      </c>
      <c r="BF138" s="83"/>
      <c r="BG138" s="83"/>
      <c r="BH138" s="83"/>
      <c r="BI138" s="82" t="str">
        <f>IF([12]回答表!F17="下水道事業",IF([12]回答表!X43="○",[12]回答表!E191,IF([12]回答表!AA43="○",[12]回答表!E239,"")),"")</f>
        <v/>
      </c>
      <c r="BJ138" s="83"/>
      <c r="BK138" s="83"/>
      <c r="BL138" s="83"/>
      <c r="BM138" s="82" t="str">
        <f>IF([12]回答表!F17="下水道事業",IF([12]回答表!X43="○",[12]回答表!E192,IF([12]回答表!AA43="○",[12]回答表!E240,"")),"")</f>
        <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109"/>
      <c r="AN139" s="110"/>
      <c r="AO139" s="110"/>
      <c r="AP139" s="110"/>
      <c r="AQ139" s="110"/>
      <c r="AR139" s="110"/>
      <c r="AS139" s="110"/>
      <c r="AT139" s="110"/>
      <c r="AU139" s="110"/>
      <c r="AV139" s="110"/>
      <c r="AW139" s="110"/>
      <c r="AX139" s="110"/>
      <c r="AY139" s="110"/>
      <c r="AZ139" s="110"/>
      <c r="BA139" s="110"/>
      <c r="BB139" s="111"/>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88" t="s">
        <v>51</v>
      </c>
      <c r="V140" s="189"/>
      <c r="W140" s="189"/>
      <c r="X140" s="189"/>
      <c r="Y140" s="189"/>
      <c r="Z140" s="189"/>
      <c r="AA140" s="189"/>
      <c r="AB140" s="189"/>
      <c r="AC140" s="192" t="s">
        <v>52</v>
      </c>
      <c r="AD140" s="193"/>
      <c r="AE140" s="193"/>
      <c r="AF140" s="193"/>
      <c r="AG140" s="193"/>
      <c r="AH140" s="193"/>
      <c r="AI140" s="193"/>
      <c r="AJ140" s="194"/>
      <c r="AK140" s="50"/>
      <c r="AL140" s="50"/>
      <c r="AM140" s="109"/>
      <c r="AN140" s="110"/>
      <c r="AO140" s="110"/>
      <c r="AP140" s="110"/>
      <c r="AQ140" s="110"/>
      <c r="AR140" s="110"/>
      <c r="AS140" s="110"/>
      <c r="AT140" s="110"/>
      <c r="AU140" s="110"/>
      <c r="AV140" s="110"/>
      <c r="AW140" s="110"/>
      <c r="AX140" s="110"/>
      <c r="AY140" s="110"/>
      <c r="AZ140" s="110"/>
      <c r="BA140" s="110"/>
      <c r="BB140" s="111"/>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86" t="s">
        <v>26</v>
      </c>
      <c r="E141" s="181"/>
      <c r="F141" s="181"/>
      <c r="G141" s="181"/>
      <c r="H141" s="181"/>
      <c r="I141" s="181"/>
      <c r="J141" s="181"/>
      <c r="K141" s="181"/>
      <c r="L141" s="181"/>
      <c r="M141" s="182"/>
      <c r="N141" s="97" t="str">
        <f>IF([12]回答表!F17="下水道事業",IF([12]回答表!AA43="○","○",""),"")</f>
        <v/>
      </c>
      <c r="O141" s="98"/>
      <c r="P141" s="98"/>
      <c r="Q141" s="99"/>
      <c r="R141" s="39"/>
      <c r="S141" s="39"/>
      <c r="T141" s="39"/>
      <c r="U141" s="190"/>
      <c r="V141" s="191"/>
      <c r="W141" s="191"/>
      <c r="X141" s="191"/>
      <c r="Y141" s="191"/>
      <c r="Z141" s="191"/>
      <c r="AA141" s="191"/>
      <c r="AB141" s="191"/>
      <c r="AC141" s="195"/>
      <c r="AD141" s="196"/>
      <c r="AE141" s="196"/>
      <c r="AF141" s="196"/>
      <c r="AG141" s="196"/>
      <c r="AH141" s="196"/>
      <c r="AI141" s="196"/>
      <c r="AJ141" s="197"/>
      <c r="AK141" s="50"/>
      <c r="AL141" s="50"/>
      <c r="AM141" s="109"/>
      <c r="AN141" s="110"/>
      <c r="AO141" s="110"/>
      <c r="AP141" s="110"/>
      <c r="AQ141" s="110"/>
      <c r="AR141" s="110"/>
      <c r="AS141" s="110"/>
      <c r="AT141" s="110"/>
      <c r="AU141" s="110"/>
      <c r="AV141" s="110"/>
      <c r="AW141" s="110"/>
      <c r="AX141" s="110"/>
      <c r="AY141" s="110"/>
      <c r="AZ141" s="110"/>
      <c r="BA141" s="110"/>
      <c r="BB141" s="111"/>
      <c r="BC141" s="40"/>
      <c r="BD141" s="54"/>
      <c r="BE141" s="82"/>
      <c r="BF141" s="83"/>
      <c r="BG141" s="83"/>
      <c r="BH141" s="83"/>
      <c r="BI141" s="82"/>
      <c r="BJ141" s="83"/>
      <c r="BK141" s="83"/>
      <c r="BL141" s="83"/>
      <c r="BM141" s="82"/>
      <c r="BN141" s="83"/>
      <c r="BO141" s="83"/>
      <c r="BP141" s="86"/>
      <c r="BQ141" s="38"/>
    </row>
    <row r="142" spans="3:69" ht="15.6" customHeight="1" x14ac:dyDescent="0.4">
      <c r="C142" s="33"/>
      <c r="D142" s="181"/>
      <c r="E142" s="181"/>
      <c r="F142" s="181"/>
      <c r="G142" s="181"/>
      <c r="H142" s="181"/>
      <c r="I142" s="181"/>
      <c r="J142" s="181"/>
      <c r="K142" s="181"/>
      <c r="L142" s="181"/>
      <c r="M142" s="182"/>
      <c r="N142" s="100"/>
      <c r="O142" s="101"/>
      <c r="P142" s="101"/>
      <c r="Q142" s="102"/>
      <c r="R142" s="39"/>
      <c r="S142" s="39"/>
      <c r="T142" s="39"/>
      <c r="U142" s="118" t="str">
        <f>IF([12]回答表!F17="下水道事業",IF([12]回答表!X43="○",[12]回答表!Y186,IF([12]回答表!AA43="○",[12]回答表!Y234,"")),"")</f>
        <v/>
      </c>
      <c r="V142" s="119"/>
      <c r="W142" s="119"/>
      <c r="X142" s="119"/>
      <c r="Y142" s="119"/>
      <c r="Z142" s="119"/>
      <c r="AA142" s="119"/>
      <c r="AB142" s="120"/>
      <c r="AC142" s="118" t="str">
        <f>IF([12]回答表!F17="下水道事業",IF([12]回答表!X43="○",[12]回答表!Y187,IF([12]回答表!AA43="○",[12]回答表!Y235,"")),"")</f>
        <v/>
      </c>
      <c r="AD142" s="119"/>
      <c r="AE142" s="119"/>
      <c r="AF142" s="119"/>
      <c r="AG142" s="119"/>
      <c r="AH142" s="119"/>
      <c r="AI142" s="119"/>
      <c r="AJ142" s="120"/>
      <c r="AK142" s="50"/>
      <c r="AL142" s="50"/>
      <c r="AM142" s="109"/>
      <c r="AN142" s="110"/>
      <c r="AO142" s="110"/>
      <c r="AP142" s="110"/>
      <c r="AQ142" s="110"/>
      <c r="AR142" s="110"/>
      <c r="AS142" s="110"/>
      <c r="AT142" s="110"/>
      <c r="AU142" s="110"/>
      <c r="AV142" s="110"/>
      <c r="AW142" s="110"/>
      <c r="AX142" s="110"/>
      <c r="AY142" s="110"/>
      <c r="AZ142" s="110"/>
      <c r="BA142" s="110"/>
      <c r="BB142" s="111"/>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81"/>
      <c r="E143" s="181"/>
      <c r="F143" s="181"/>
      <c r="G143" s="181"/>
      <c r="H143" s="181"/>
      <c r="I143" s="181"/>
      <c r="J143" s="181"/>
      <c r="K143" s="181"/>
      <c r="L143" s="181"/>
      <c r="M143" s="182"/>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109"/>
      <c r="AN143" s="110"/>
      <c r="AO143" s="110"/>
      <c r="AP143" s="110"/>
      <c r="AQ143" s="110"/>
      <c r="AR143" s="110"/>
      <c r="AS143" s="110"/>
      <c r="AT143" s="110"/>
      <c r="AU143" s="110"/>
      <c r="AV143" s="110"/>
      <c r="AW143" s="110"/>
      <c r="AX143" s="110"/>
      <c r="AY143" s="110"/>
      <c r="AZ143" s="110"/>
      <c r="BA143" s="110"/>
      <c r="BB143" s="111"/>
      <c r="BC143" s="40"/>
      <c r="BD143" s="54"/>
      <c r="BE143" s="82"/>
      <c r="BF143" s="83"/>
      <c r="BG143" s="83"/>
      <c r="BH143" s="83"/>
      <c r="BI143" s="82"/>
      <c r="BJ143" s="83"/>
      <c r="BK143" s="83"/>
      <c r="BL143" s="83"/>
      <c r="BM143" s="82"/>
      <c r="BN143" s="83"/>
      <c r="BO143" s="83"/>
      <c r="BP143" s="86"/>
      <c r="BQ143" s="38"/>
    </row>
    <row r="144" spans="3:69" ht="15.6" customHeight="1" x14ac:dyDescent="0.4">
      <c r="C144" s="33"/>
      <c r="D144" s="181"/>
      <c r="E144" s="181"/>
      <c r="F144" s="181"/>
      <c r="G144" s="181"/>
      <c r="H144" s="181"/>
      <c r="I144" s="181"/>
      <c r="J144" s="181"/>
      <c r="K144" s="181"/>
      <c r="L144" s="181"/>
      <c r="M144" s="182"/>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112"/>
      <c r="AN144" s="113"/>
      <c r="AO144" s="113"/>
      <c r="AP144" s="113"/>
      <c r="AQ144" s="113"/>
      <c r="AR144" s="113"/>
      <c r="AS144" s="113"/>
      <c r="AT144" s="113"/>
      <c r="AU144" s="113"/>
      <c r="AV144" s="113"/>
      <c r="AW144" s="113"/>
      <c r="AX144" s="113"/>
      <c r="AY144" s="113"/>
      <c r="AZ144" s="113"/>
      <c r="BA144" s="113"/>
      <c r="BB144" s="114"/>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81" t="s">
        <v>34</v>
      </c>
      <c r="E147" s="181"/>
      <c r="F147" s="181"/>
      <c r="G147" s="181"/>
      <c r="H147" s="181"/>
      <c r="I147" s="181"/>
      <c r="J147" s="181"/>
      <c r="K147" s="181"/>
      <c r="L147" s="181"/>
      <c r="M147" s="182"/>
      <c r="N147" s="97" t="str">
        <f>IF([12]回答表!F17="下水道事業",IF([12]回答表!AD43="○","○",""),"")</f>
        <v/>
      </c>
      <c r="O147" s="98"/>
      <c r="P147" s="98"/>
      <c r="Q147" s="99"/>
      <c r="R147" s="39"/>
      <c r="S147" s="39"/>
      <c r="T147" s="39"/>
      <c r="U147" s="106" t="str">
        <f>IF([12]回答表!F17="下水道事業",IF([12]回答表!AD43="○",[12]回答表!B249,""),"")</f>
        <v/>
      </c>
      <c r="V147" s="107"/>
      <c r="W147" s="107"/>
      <c r="X147" s="107"/>
      <c r="Y147" s="107"/>
      <c r="Z147" s="107"/>
      <c r="AA147" s="107"/>
      <c r="AB147" s="107"/>
      <c r="AC147" s="107"/>
      <c r="AD147" s="107"/>
      <c r="AE147" s="107"/>
      <c r="AF147" s="107"/>
      <c r="AG147" s="107"/>
      <c r="AH147" s="107"/>
      <c r="AI147" s="107"/>
      <c r="AJ147" s="108"/>
      <c r="AK147" s="56"/>
      <c r="AL147" s="56"/>
      <c r="AM147" s="106" t="str">
        <f>IF([12]回答表!F17="下水道事業",IF([12]回答表!AD43="○",[12]回答表!B255,""),"")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81"/>
      <c r="E148" s="181"/>
      <c r="F148" s="181"/>
      <c r="G148" s="181"/>
      <c r="H148" s="181"/>
      <c r="I148" s="181"/>
      <c r="J148" s="181"/>
      <c r="K148" s="181"/>
      <c r="L148" s="181"/>
      <c r="M148" s="182"/>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81"/>
      <c r="E149" s="181"/>
      <c r="F149" s="181"/>
      <c r="G149" s="181"/>
      <c r="H149" s="181"/>
      <c r="I149" s="181"/>
      <c r="J149" s="181"/>
      <c r="K149" s="181"/>
      <c r="L149" s="181"/>
      <c r="M149" s="182"/>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81"/>
      <c r="E150" s="181"/>
      <c r="F150" s="181"/>
      <c r="G150" s="181"/>
      <c r="H150" s="181"/>
      <c r="I150" s="181"/>
      <c r="J150" s="181"/>
      <c r="K150" s="181"/>
      <c r="L150" s="181"/>
      <c r="M150" s="182"/>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62"/>
      <c r="AS153" s="162"/>
      <c r="AT153" s="162"/>
      <c r="AU153" s="162"/>
      <c r="AV153" s="162"/>
      <c r="AW153" s="162"/>
      <c r="AX153" s="162"/>
      <c r="AY153" s="162"/>
      <c r="AZ153" s="162"/>
      <c r="BA153" s="162"/>
      <c r="BB153" s="162"/>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87"/>
      <c r="AS154" s="187"/>
      <c r="AT154" s="187"/>
      <c r="AU154" s="187"/>
      <c r="AV154" s="187"/>
      <c r="AW154" s="187"/>
      <c r="AX154" s="187"/>
      <c r="AY154" s="187"/>
      <c r="AZ154" s="187"/>
      <c r="BA154" s="187"/>
      <c r="BB154" s="187"/>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81" t="s">
        <v>18</v>
      </c>
      <c r="E159" s="181"/>
      <c r="F159" s="181"/>
      <c r="G159" s="181"/>
      <c r="H159" s="181"/>
      <c r="I159" s="181"/>
      <c r="J159" s="181"/>
      <c r="K159" s="181"/>
      <c r="L159" s="181"/>
      <c r="M159" s="181"/>
      <c r="N159" s="97" t="str">
        <f>IF([12]回答表!BD17="○",IF([12]回答表!X43="○","○",""),"")</f>
        <v/>
      </c>
      <c r="O159" s="98"/>
      <c r="P159" s="98"/>
      <c r="Q159" s="99"/>
      <c r="R159" s="39"/>
      <c r="S159" s="39"/>
      <c r="T159" s="39"/>
      <c r="U159" s="106" t="str">
        <f>IF([12]回答表!BD17="○",IF([12]回答表!X43="○",[12]回答表!B154,IF([12]回答表!AA43="○",[12]回答表!B201,"")),"")</f>
        <v/>
      </c>
      <c r="V159" s="107"/>
      <c r="W159" s="107"/>
      <c r="X159" s="107"/>
      <c r="Y159" s="107"/>
      <c r="Z159" s="107"/>
      <c r="AA159" s="107"/>
      <c r="AB159" s="107"/>
      <c r="AC159" s="107"/>
      <c r="AD159" s="107"/>
      <c r="AE159" s="107"/>
      <c r="AF159" s="107"/>
      <c r="AG159" s="107"/>
      <c r="AH159" s="107"/>
      <c r="AI159" s="107"/>
      <c r="AJ159" s="108"/>
      <c r="AK159" s="50"/>
      <c r="AL159" s="50"/>
      <c r="AM159" s="115" t="str">
        <f>IF([12]回答表!BD17="○",IF([12]回答表!X43="○",[12]回答表!B190,IF([12]回答表!AA43="○",[12]回答表!B238,"")),"")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81"/>
      <c r="E160" s="181"/>
      <c r="F160" s="181"/>
      <c r="G160" s="181"/>
      <c r="H160" s="181"/>
      <c r="I160" s="181"/>
      <c r="J160" s="181"/>
      <c r="K160" s="181"/>
      <c r="L160" s="181"/>
      <c r="M160" s="181"/>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81"/>
      <c r="E161" s="181"/>
      <c r="F161" s="181"/>
      <c r="G161" s="181"/>
      <c r="H161" s="181"/>
      <c r="I161" s="181"/>
      <c r="J161" s="181"/>
      <c r="K161" s="181"/>
      <c r="L161" s="181"/>
      <c r="M161" s="181"/>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81"/>
      <c r="E162" s="181"/>
      <c r="F162" s="181"/>
      <c r="G162" s="181"/>
      <c r="H162" s="181"/>
      <c r="I162" s="181"/>
      <c r="J162" s="181"/>
      <c r="K162" s="181"/>
      <c r="L162" s="181"/>
      <c r="M162" s="181"/>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IF([12]回答表!BD17="○",IF([12]回答表!X43="○",[12]回答表!E190,IF([12]回答表!AA43="○",[12]回答表!E238,"")),"")</f>
        <v/>
      </c>
      <c r="AN162" s="83"/>
      <c r="AO162" s="83"/>
      <c r="AP162" s="83"/>
      <c r="AQ162" s="82" t="str">
        <f>IF([12]回答表!BD17="○",IF([12]回答表!X43="○",[12]回答表!E191,IF([12]回答表!AA43="○",[12]回答表!E239,"")),"")</f>
        <v/>
      </c>
      <c r="AR162" s="83"/>
      <c r="AS162" s="83"/>
      <c r="AT162" s="83"/>
      <c r="AU162" s="82" t="str">
        <f>IF([12]回答表!BD17="○",IF([12]回答表!X43="○",[12]回答表!E192,IF([12]回答表!AA43="○",[12]回答表!E240,"")),"")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86" t="s">
        <v>26</v>
      </c>
      <c r="E165" s="181"/>
      <c r="F165" s="181"/>
      <c r="G165" s="181"/>
      <c r="H165" s="181"/>
      <c r="I165" s="181"/>
      <c r="J165" s="181"/>
      <c r="K165" s="181"/>
      <c r="L165" s="181"/>
      <c r="M165" s="182"/>
      <c r="N165" s="97" t="str">
        <f>IF([12]回答表!BD17="○",IF([12]回答表!AA43="○","○",""),"")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81"/>
      <c r="E166" s="181"/>
      <c r="F166" s="181"/>
      <c r="G166" s="181"/>
      <c r="H166" s="181"/>
      <c r="I166" s="181"/>
      <c r="J166" s="181"/>
      <c r="K166" s="181"/>
      <c r="L166" s="181"/>
      <c r="M166" s="182"/>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81"/>
      <c r="E167" s="181"/>
      <c r="F167" s="181"/>
      <c r="G167" s="181"/>
      <c r="H167" s="181"/>
      <c r="I167" s="181"/>
      <c r="J167" s="181"/>
      <c r="K167" s="181"/>
      <c r="L167" s="181"/>
      <c r="M167" s="182"/>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81"/>
      <c r="E168" s="181"/>
      <c r="F168" s="181"/>
      <c r="G168" s="181"/>
      <c r="H168" s="181"/>
      <c r="I168" s="181"/>
      <c r="J168" s="181"/>
      <c r="K168" s="181"/>
      <c r="L168" s="181"/>
      <c r="M168" s="182"/>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81" t="s">
        <v>34</v>
      </c>
      <c r="E171" s="181"/>
      <c r="F171" s="181"/>
      <c r="G171" s="181"/>
      <c r="H171" s="181"/>
      <c r="I171" s="181"/>
      <c r="J171" s="181"/>
      <c r="K171" s="181"/>
      <c r="L171" s="181"/>
      <c r="M171" s="182"/>
      <c r="N171" s="97" t="str">
        <f>IF([12]回答表!BD17="○",IF([12]回答表!AD43="○","○",""),"")</f>
        <v/>
      </c>
      <c r="O171" s="98"/>
      <c r="P171" s="98"/>
      <c r="Q171" s="99"/>
      <c r="R171" s="39"/>
      <c r="S171" s="39"/>
      <c r="T171" s="39"/>
      <c r="U171" s="106" t="str">
        <f>IF([12]回答表!BD17="○",IF([12]回答表!AD43="○",[12]回答表!B249,""),"")</f>
        <v/>
      </c>
      <c r="V171" s="107"/>
      <c r="W171" s="107"/>
      <c r="X171" s="107"/>
      <c r="Y171" s="107"/>
      <c r="Z171" s="107"/>
      <c r="AA171" s="107"/>
      <c r="AB171" s="107"/>
      <c r="AC171" s="107"/>
      <c r="AD171" s="107"/>
      <c r="AE171" s="107"/>
      <c r="AF171" s="107"/>
      <c r="AG171" s="107"/>
      <c r="AH171" s="107"/>
      <c r="AI171" s="107"/>
      <c r="AJ171" s="108"/>
      <c r="AK171" s="56"/>
      <c r="AL171" s="56"/>
      <c r="AM171" s="106" t="str">
        <f>IF([12]回答表!BD17="○",IF([12]回答表!AD43="○",[12]回答表!B255,""),"")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81"/>
      <c r="E172" s="181"/>
      <c r="F172" s="181"/>
      <c r="G172" s="181"/>
      <c r="H172" s="181"/>
      <c r="I172" s="181"/>
      <c r="J172" s="181"/>
      <c r="K172" s="181"/>
      <c r="L172" s="181"/>
      <c r="M172" s="182"/>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81"/>
      <c r="E173" s="181"/>
      <c r="F173" s="181"/>
      <c r="G173" s="181"/>
      <c r="H173" s="181"/>
      <c r="I173" s="181"/>
      <c r="J173" s="181"/>
      <c r="K173" s="181"/>
      <c r="L173" s="181"/>
      <c r="M173" s="182"/>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81"/>
      <c r="E174" s="181"/>
      <c r="F174" s="181"/>
      <c r="G174" s="181"/>
      <c r="H174" s="181"/>
      <c r="I174" s="181"/>
      <c r="J174" s="181"/>
      <c r="K174" s="181"/>
      <c r="L174" s="181"/>
      <c r="M174" s="182"/>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62"/>
      <c r="AS177" s="162"/>
      <c r="AT177" s="162"/>
      <c r="AU177" s="162"/>
      <c r="AV177" s="162"/>
      <c r="AW177" s="162"/>
      <c r="AX177" s="162"/>
      <c r="AY177" s="162"/>
      <c r="AZ177" s="162"/>
      <c r="BA177" s="162"/>
      <c r="BB177" s="162"/>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87"/>
      <c r="AS178" s="187"/>
      <c r="AT178" s="187"/>
      <c r="AU178" s="187"/>
      <c r="AV178" s="187"/>
      <c r="AW178" s="187"/>
      <c r="AX178" s="187"/>
      <c r="AY178" s="187"/>
      <c r="AZ178" s="187"/>
      <c r="BA178" s="187"/>
      <c r="BB178" s="187"/>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81" t="s">
        <v>18</v>
      </c>
      <c r="E183" s="181"/>
      <c r="F183" s="181"/>
      <c r="G183" s="181"/>
      <c r="H183" s="181"/>
      <c r="I183" s="181"/>
      <c r="J183" s="181"/>
      <c r="K183" s="181"/>
      <c r="L183" s="181"/>
      <c r="M183" s="181"/>
      <c r="N183" s="97" t="str">
        <f>IF([12]回答表!X44="○","○","")</f>
        <v/>
      </c>
      <c r="O183" s="98"/>
      <c r="P183" s="98"/>
      <c r="Q183" s="99"/>
      <c r="R183" s="39"/>
      <c r="S183" s="39"/>
      <c r="T183" s="39"/>
      <c r="U183" s="106" t="str">
        <f>IF([12]回答表!X44="○",[12]回答表!B266,IF([12]回答表!AA44="○",[12]回答表!B283,""))</f>
        <v/>
      </c>
      <c r="V183" s="107"/>
      <c r="W183" s="107"/>
      <c r="X183" s="107"/>
      <c r="Y183" s="107"/>
      <c r="Z183" s="107"/>
      <c r="AA183" s="107"/>
      <c r="AB183" s="107"/>
      <c r="AC183" s="107"/>
      <c r="AD183" s="107"/>
      <c r="AE183" s="107"/>
      <c r="AF183" s="107"/>
      <c r="AG183" s="107"/>
      <c r="AH183" s="107"/>
      <c r="AI183" s="107"/>
      <c r="AJ183" s="108"/>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IF([12]回答表!X44="○",[12]回答表!U272,IF([12]回答表!AA44="○",[12]回答表!U289,""))</f>
        <v/>
      </c>
      <c r="BF183" s="116"/>
      <c r="BG183" s="116"/>
      <c r="BH183" s="116"/>
      <c r="BI183" s="115"/>
      <c r="BJ183" s="116"/>
      <c r="BK183" s="116"/>
      <c r="BL183" s="116"/>
      <c r="BM183" s="115"/>
      <c r="BN183" s="116"/>
      <c r="BO183" s="116"/>
      <c r="BP183" s="117"/>
      <c r="BQ183" s="38"/>
      <c r="BR183" s="25"/>
    </row>
    <row r="184" spans="3:70" ht="15.6" customHeight="1" x14ac:dyDescent="0.4">
      <c r="C184" s="33"/>
      <c r="D184" s="181"/>
      <c r="E184" s="181"/>
      <c r="F184" s="181"/>
      <c r="G184" s="181"/>
      <c r="H184" s="181"/>
      <c r="I184" s="181"/>
      <c r="J184" s="181"/>
      <c r="K184" s="181"/>
      <c r="L184" s="181"/>
      <c r="M184" s="181"/>
      <c r="N184" s="100"/>
      <c r="O184" s="101"/>
      <c r="P184" s="101"/>
      <c r="Q184" s="102"/>
      <c r="R184" s="39"/>
      <c r="S184" s="39"/>
      <c r="T184" s="39"/>
      <c r="U184" s="109"/>
      <c r="V184" s="110"/>
      <c r="W184" s="110"/>
      <c r="X184" s="110"/>
      <c r="Y184" s="110"/>
      <c r="Z184" s="110"/>
      <c r="AA184" s="110"/>
      <c r="AB184" s="110"/>
      <c r="AC184" s="110"/>
      <c r="AD184" s="110"/>
      <c r="AE184" s="110"/>
      <c r="AF184" s="110"/>
      <c r="AG184" s="110"/>
      <c r="AH184" s="110"/>
      <c r="AI184" s="110"/>
      <c r="AJ184" s="111"/>
      <c r="AK184" s="50"/>
      <c r="AL184" s="50"/>
      <c r="AM184" s="183"/>
      <c r="AN184" s="184"/>
      <c r="AO184" s="184"/>
      <c r="AP184" s="184"/>
      <c r="AQ184" s="184"/>
      <c r="AR184" s="184"/>
      <c r="AS184" s="184"/>
      <c r="AT184" s="185"/>
      <c r="AU184" s="183"/>
      <c r="AV184" s="184"/>
      <c r="AW184" s="184"/>
      <c r="AX184" s="184"/>
      <c r="AY184" s="184"/>
      <c r="AZ184" s="184"/>
      <c r="BA184" s="184"/>
      <c r="BB184" s="185"/>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81"/>
      <c r="E185" s="181"/>
      <c r="F185" s="181"/>
      <c r="G185" s="181"/>
      <c r="H185" s="181"/>
      <c r="I185" s="181"/>
      <c r="J185" s="181"/>
      <c r="K185" s="181"/>
      <c r="L185" s="181"/>
      <c r="M185" s="181"/>
      <c r="N185" s="100"/>
      <c r="O185" s="101"/>
      <c r="P185" s="101"/>
      <c r="Q185" s="102"/>
      <c r="R185" s="39"/>
      <c r="S185" s="39"/>
      <c r="T185" s="39"/>
      <c r="U185" s="109"/>
      <c r="V185" s="110"/>
      <c r="W185" s="110"/>
      <c r="X185" s="110"/>
      <c r="Y185" s="110"/>
      <c r="Z185" s="110"/>
      <c r="AA185" s="110"/>
      <c r="AB185" s="110"/>
      <c r="AC185" s="110"/>
      <c r="AD185" s="110"/>
      <c r="AE185" s="110"/>
      <c r="AF185" s="110"/>
      <c r="AG185" s="110"/>
      <c r="AH185" s="110"/>
      <c r="AI185" s="110"/>
      <c r="AJ185" s="111"/>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81"/>
      <c r="E186" s="181"/>
      <c r="F186" s="181"/>
      <c r="G186" s="181"/>
      <c r="H186" s="181"/>
      <c r="I186" s="181"/>
      <c r="J186" s="181"/>
      <c r="K186" s="181"/>
      <c r="L186" s="181"/>
      <c r="M186" s="181"/>
      <c r="N186" s="103"/>
      <c r="O186" s="104"/>
      <c r="P186" s="104"/>
      <c r="Q186" s="105"/>
      <c r="R186" s="39"/>
      <c r="S186" s="39"/>
      <c r="T186" s="39"/>
      <c r="U186" s="109"/>
      <c r="V186" s="110"/>
      <c r="W186" s="110"/>
      <c r="X186" s="110"/>
      <c r="Y186" s="110"/>
      <c r="Z186" s="110"/>
      <c r="AA186" s="110"/>
      <c r="AB186" s="110"/>
      <c r="AC186" s="110"/>
      <c r="AD186" s="110"/>
      <c r="AE186" s="110"/>
      <c r="AF186" s="110"/>
      <c r="AG186" s="110"/>
      <c r="AH186" s="110"/>
      <c r="AI186" s="110"/>
      <c r="AJ186" s="111"/>
      <c r="AK186" s="50"/>
      <c r="AL186" s="50"/>
      <c r="AM186" s="118" t="str">
        <f>IF([12]回答表!X44="○",[12]回答表!G272,IF([12]回答表!AA44="○",[12]回答表!G289,""))</f>
        <v/>
      </c>
      <c r="AN186" s="119"/>
      <c r="AO186" s="119"/>
      <c r="AP186" s="119"/>
      <c r="AQ186" s="119"/>
      <c r="AR186" s="119"/>
      <c r="AS186" s="119"/>
      <c r="AT186" s="120"/>
      <c r="AU186" s="118" t="str">
        <f>IF([12]回答表!X44="○",[12]回答表!G273,IF([12]回答表!AA44="○",[12]回答表!G290,""))</f>
        <v/>
      </c>
      <c r="AV186" s="119"/>
      <c r="AW186" s="119"/>
      <c r="AX186" s="119"/>
      <c r="AY186" s="119"/>
      <c r="AZ186" s="119"/>
      <c r="BA186" s="119"/>
      <c r="BB186" s="120"/>
      <c r="BC186" s="40"/>
      <c r="BD186" s="35"/>
      <c r="BE186" s="82" t="str">
        <f>IF([12]回答表!X44="○",[12]回答表!X272,IF([12]回答表!AA44="○",[12]回答表!X289,""))</f>
        <v/>
      </c>
      <c r="BF186" s="83"/>
      <c r="BG186" s="83"/>
      <c r="BH186" s="83"/>
      <c r="BI186" s="82" t="str">
        <f>IF([12]回答表!X44="○",[12]回答表!X273,IF([12]回答表!AA44="○",[12]回答表!X290,""))</f>
        <v/>
      </c>
      <c r="BJ186" s="83"/>
      <c r="BK186" s="83"/>
      <c r="BL186" s="86"/>
      <c r="BM186" s="82" t="str">
        <f>IF([12]回答表!X44="○",[12]回答表!X274,IF([12]回答表!AA44="○",[12]回答表!X291,""))</f>
        <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09"/>
      <c r="V187" s="110"/>
      <c r="W187" s="110"/>
      <c r="X187" s="110"/>
      <c r="Y187" s="110"/>
      <c r="Z187" s="110"/>
      <c r="AA187" s="110"/>
      <c r="AB187" s="110"/>
      <c r="AC187" s="110"/>
      <c r="AD187" s="110"/>
      <c r="AE187" s="110"/>
      <c r="AF187" s="110"/>
      <c r="AG187" s="110"/>
      <c r="AH187" s="110"/>
      <c r="AI187" s="110"/>
      <c r="AJ187" s="111"/>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09"/>
      <c r="V188" s="110"/>
      <c r="W188" s="110"/>
      <c r="X188" s="110"/>
      <c r="Y188" s="110"/>
      <c r="Z188" s="110"/>
      <c r="AA188" s="110"/>
      <c r="AB188" s="110"/>
      <c r="AC188" s="110"/>
      <c r="AD188" s="110"/>
      <c r="AE188" s="110"/>
      <c r="AF188" s="110"/>
      <c r="AG188" s="110"/>
      <c r="AH188" s="110"/>
      <c r="AI188" s="110"/>
      <c r="AJ188" s="111"/>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86" t="s">
        <v>26</v>
      </c>
      <c r="E189" s="181"/>
      <c r="F189" s="181"/>
      <c r="G189" s="181"/>
      <c r="H189" s="181"/>
      <c r="I189" s="181"/>
      <c r="J189" s="181"/>
      <c r="K189" s="181"/>
      <c r="L189" s="181"/>
      <c r="M189" s="182"/>
      <c r="N189" s="97" t="str">
        <f>IF([12]回答表!AA44="○","○","")</f>
        <v/>
      </c>
      <c r="O189" s="98"/>
      <c r="P189" s="98"/>
      <c r="Q189" s="99"/>
      <c r="R189" s="39"/>
      <c r="S189" s="39"/>
      <c r="T189" s="39"/>
      <c r="U189" s="109"/>
      <c r="V189" s="110"/>
      <c r="W189" s="110"/>
      <c r="X189" s="110"/>
      <c r="Y189" s="110"/>
      <c r="Z189" s="110"/>
      <c r="AA189" s="110"/>
      <c r="AB189" s="110"/>
      <c r="AC189" s="110"/>
      <c r="AD189" s="110"/>
      <c r="AE189" s="110"/>
      <c r="AF189" s="110"/>
      <c r="AG189" s="110"/>
      <c r="AH189" s="110"/>
      <c r="AI189" s="110"/>
      <c r="AJ189" s="111"/>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81"/>
      <c r="E190" s="181"/>
      <c r="F190" s="181"/>
      <c r="G190" s="181"/>
      <c r="H190" s="181"/>
      <c r="I190" s="181"/>
      <c r="J190" s="181"/>
      <c r="K190" s="181"/>
      <c r="L190" s="181"/>
      <c r="M190" s="182"/>
      <c r="N190" s="100"/>
      <c r="O190" s="101"/>
      <c r="P190" s="101"/>
      <c r="Q190" s="102"/>
      <c r="R190" s="39"/>
      <c r="S190" s="39"/>
      <c r="T190" s="39"/>
      <c r="U190" s="109"/>
      <c r="V190" s="110"/>
      <c r="W190" s="110"/>
      <c r="X190" s="110"/>
      <c r="Y190" s="110"/>
      <c r="Z190" s="110"/>
      <c r="AA190" s="110"/>
      <c r="AB190" s="110"/>
      <c r="AC190" s="110"/>
      <c r="AD190" s="110"/>
      <c r="AE190" s="110"/>
      <c r="AF190" s="110"/>
      <c r="AG190" s="110"/>
      <c r="AH190" s="110"/>
      <c r="AI190" s="110"/>
      <c r="AJ190" s="111"/>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81"/>
      <c r="E191" s="181"/>
      <c r="F191" s="181"/>
      <c r="G191" s="181"/>
      <c r="H191" s="181"/>
      <c r="I191" s="181"/>
      <c r="J191" s="181"/>
      <c r="K191" s="181"/>
      <c r="L191" s="181"/>
      <c r="M191" s="182"/>
      <c r="N191" s="100"/>
      <c r="O191" s="101"/>
      <c r="P191" s="101"/>
      <c r="Q191" s="102"/>
      <c r="R191" s="39"/>
      <c r="S191" s="39"/>
      <c r="T191" s="39"/>
      <c r="U191" s="109"/>
      <c r="V191" s="110"/>
      <c r="W191" s="110"/>
      <c r="X191" s="110"/>
      <c r="Y191" s="110"/>
      <c r="Z191" s="110"/>
      <c r="AA191" s="110"/>
      <c r="AB191" s="110"/>
      <c r="AC191" s="110"/>
      <c r="AD191" s="110"/>
      <c r="AE191" s="110"/>
      <c r="AF191" s="110"/>
      <c r="AG191" s="110"/>
      <c r="AH191" s="110"/>
      <c r="AI191" s="110"/>
      <c r="AJ191" s="111"/>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81"/>
      <c r="E192" s="181"/>
      <c r="F192" s="181"/>
      <c r="G192" s="181"/>
      <c r="H192" s="181"/>
      <c r="I192" s="181"/>
      <c r="J192" s="181"/>
      <c r="K192" s="181"/>
      <c r="L192" s="181"/>
      <c r="M192" s="182"/>
      <c r="N192" s="103"/>
      <c r="O192" s="104"/>
      <c r="P192" s="104"/>
      <c r="Q192" s="105"/>
      <c r="R192" s="39"/>
      <c r="S192" s="39"/>
      <c r="T192" s="39"/>
      <c r="U192" s="112"/>
      <c r="V192" s="113"/>
      <c r="W192" s="113"/>
      <c r="X192" s="113"/>
      <c r="Y192" s="113"/>
      <c r="Z192" s="113"/>
      <c r="AA192" s="113"/>
      <c r="AB192" s="113"/>
      <c r="AC192" s="113"/>
      <c r="AD192" s="113"/>
      <c r="AE192" s="113"/>
      <c r="AF192" s="113"/>
      <c r="AG192" s="113"/>
      <c r="AH192" s="113"/>
      <c r="AI192" s="113"/>
      <c r="AJ192" s="114"/>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81" t="s">
        <v>34</v>
      </c>
      <c r="E195" s="181"/>
      <c r="F195" s="181"/>
      <c r="G195" s="181"/>
      <c r="H195" s="181"/>
      <c r="I195" s="181"/>
      <c r="J195" s="181"/>
      <c r="K195" s="181"/>
      <c r="L195" s="181"/>
      <c r="M195" s="182"/>
      <c r="N195" s="97" t="str">
        <f>IF([12]回答表!AD44="○","○","")</f>
        <v/>
      </c>
      <c r="O195" s="98"/>
      <c r="P195" s="98"/>
      <c r="Q195" s="99"/>
      <c r="R195" s="39"/>
      <c r="S195" s="39"/>
      <c r="T195" s="39"/>
      <c r="U195" s="106" t="str">
        <f>IF([12]回答表!AD44="○",[12]回答表!B296,"")</f>
        <v/>
      </c>
      <c r="V195" s="107"/>
      <c r="W195" s="107"/>
      <c r="X195" s="107"/>
      <c r="Y195" s="107"/>
      <c r="Z195" s="107"/>
      <c r="AA195" s="107"/>
      <c r="AB195" s="107"/>
      <c r="AC195" s="107"/>
      <c r="AD195" s="107"/>
      <c r="AE195" s="107"/>
      <c r="AF195" s="107"/>
      <c r="AG195" s="107"/>
      <c r="AH195" s="107"/>
      <c r="AI195" s="107"/>
      <c r="AJ195" s="108"/>
      <c r="AK195" s="61"/>
      <c r="AL195" s="61"/>
      <c r="AM195" s="106" t="str">
        <f>IF([12]回答表!AD44="○",[12]回答表!B302,"")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81"/>
      <c r="E196" s="181"/>
      <c r="F196" s="181"/>
      <c r="G196" s="181"/>
      <c r="H196" s="181"/>
      <c r="I196" s="181"/>
      <c r="J196" s="181"/>
      <c r="K196" s="181"/>
      <c r="L196" s="181"/>
      <c r="M196" s="182"/>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81"/>
      <c r="E197" s="181"/>
      <c r="F197" s="181"/>
      <c r="G197" s="181"/>
      <c r="H197" s="181"/>
      <c r="I197" s="181"/>
      <c r="J197" s="181"/>
      <c r="K197" s="181"/>
      <c r="L197" s="181"/>
      <c r="M197" s="182"/>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81"/>
      <c r="E198" s="181"/>
      <c r="F198" s="181"/>
      <c r="G198" s="181"/>
      <c r="H198" s="181"/>
      <c r="I198" s="181"/>
      <c r="J198" s="181"/>
      <c r="K198" s="181"/>
      <c r="L198" s="181"/>
      <c r="M198" s="182"/>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62"/>
      <c r="AS201" s="162"/>
      <c r="AT201" s="162"/>
      <c r="AU201" s="162"/>
      <c r="AV201" s="162"/>
      <c r="AW201" s="162"/>
      <c r="AX201" s="162"/>
      <c r="AY201" s="162"/>
      <c r="AZ201" s="162"/>
      <c r="BA201" s="162"/>
      <c r="BB201" s="162"/>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63"/>
      <c r="AS202" s="163"/>
      <c r="AT202" s="163"/>
      <c r="AU202" s="163"/>
      <c r="AV202" s="163"/>
      <c r="AW202" s="163"/>
      <c r="AX202" s="163"/>
      <c r="AY202" s="163"/>
      <c r="AZ202" s="163"/>
      <c r="BA202" s="163"/>
      <c r="BB202" s="163"/>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IF([12]回答表!X45="○","○","")</f>
        <v/>
      </c>
      <c r="O207" s="98"/>
      <c r="P207" s="98"/>
      <c r="Q207" s="99"/>
      <c r="R207" s="39"/>
      <c r="S207" s="39"/>
      <c r="T207" s="39"/>
      <c r="U207" s="106" t="str">
        <f>IF([12]回答表!X45="○",[12]回答表!B314,IF([12]回答表!AA45="○",[12]回答表!B337,""))</f>
        <v/>
      </c>
      <c r="V207" s="107"/>
      <c r="W207" s="107"/>
      <c r="X207" s="107"/>
      <c r="Y207" s="107"/>
      <c r="Z207" s="107"/>
      <c r="AA207" s="107"/>
      <c r="AB207" s="107"/>
      <c r="AC207" s="107"/>
      <c r="AD207" s="107"/>
      <c r="AE207" s="107"/>
      <c r="AF207" s="107"/>
      <c r="AG207" s="107"/>
      <c r="AH207" s="107"/>
      <c r="AI207" s="107"/>
      <c r="AJ207" s="108"/>
      <c r="AK207" s="50"/>
      <c r="AL207" s="50"/>
      <c r="AM207" s="50"/>
      <c r="AN207" s="106" t="str">
        <f>IF([12]回答表!X45="○",[12]回答表!B320,"")</f>
        <v/>
      </c>
      <c r="AO207" s="173"/>
      <c r="AP207" s="173"/>
      <c r="AQ207" s="173"/>
      <c r="AR207" s="173"/>
      <c r="AS207" s="173"/>
      <c r="AT207" s="173"/>
      <c r="AU207" s="173"/>
      <c r="AV207" s="173"/>
      <c r="AW207" s="173"/>
      <c r="AX207" s="173"/>
      <c r="AY207" s="173"/>
      <c r="AZ207" s="173"/>
      <c r="BA207" s="173"/>
      <c r="BB207" s="174"/>
      <c r="BC207" s="40"/>
      <c r="BD207" s="35"/>
      <c r="BE207" s="115" t="str">
        <f>IF([12]回答表!X45="○",[12]回答表!B326,IF([12]回答表!AA45="○",[12]回答表!B343,""))</f>
        <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75"/>
      <c r="AO208" s="176"/>
      <c r="AP208" s="176"/>
      <c r="AQ208" s="176"/>
      <c r="AR208" s="176"/>
      <c r="AS208" s="176"/>
      <c r="AT208" s="176"/>
      <c r="AU208" s="176"/>
      <c r="AV208" s="176"/>
      <c r="AW208" s="176"/>
      <c r="AX208" s="176"/>
      <c r="AY208" s="176"/>
      <c r="AZ208" s="176"/>
      <c r="BA208" s="176"/>
      <c r="BB208" s="177"/>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75"/>
      <c r="AO209" s="176"/>
      <c r="AP209" s="176"/>
      <c r="AQ209" s="176"/>
      <c r="AR209" s="176"/>
      <c r="AS209" s="176"/>
      <c r="AT209" s="176"/>
      <c r="AU209" s="176"/>
      <c r="AV209" s="176"/>
      <c r="AW209" s="176"/>
      <c r="AX209" s="176"/>
      <c r="AY209" s="176"/>
      <c r="AZ209" s="176"/>
      <c r="BA209" s="176"/>
      <c r="BB209" s="177"/>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75"/>
      <c r="AO210" s="176"/>
      <c r="AP210" s="176"/>
      <c r="AQ210" s="176"/>
      <c r="AR210" s="176"/>
      <c r="AS210" s="176"/>
      <c r="AT210" s="176"/>
      <c r="AU210" s="176"/>
      <c r="AV210" s="176"/>
      <c r="AW210" s="176"/>
      <c r="AX210" s="176"/>
      <c r="AY210" s="176"/>
      <c r="AZ210" s="176"/>
      <c r="BA210" s="176"/>
      <c r="BB210" s="177"/>
      <c r="BC210" s="40"/>
      <c r="BD210" s="35"/>
      <c r="BE210" s="82" t="str">
        <f>IF([12]回答表!X45="○",[12]回答表!E326,IF([12]回答表!AA45="○",[12]回答表!E343,""))</f>
        <v/>
      </c>
      <c r="BF210" s="83"/>
      <c r="BG210" s="83"/>
      <c r="BH210" s="83"/>
      <c r="BI210" s="82" t="str">
        <f>IF([12]回答表!X45="○",[12]回答表!E327,IF([12]回答表!AA45="○",[12]回答表!E344,""))</f>
        <v/>
      </c>
      <c r="BJ210" s="83"/>
      <c r="BK210" s="83"/>
      <c r="BL210" s="86"/>
      <c r="BM210" s="82" t="str">
        <f>IF([12]回答表!X45="○",[12]回答表!E328,IF([12]回答表!AA45="○",[12]回答表!E345,""))</f>
        <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75"/>
      <c r="AO211" s="176"/>
      <c r="AP211" s="176"/>
      <c r="AQ211" s="176"/>
      <c r="AR211" s="176"/>
      <c r="AS211" s="176"/>
      <c r="AT211" s="176"/>
      <c r="AU211" s="176"/>
      <c r="AV211" s="176"/>
      <c r="AW211" s="176"/>
      <c r="AX211" s="176"/>
      <c r="AY211" s="176"/>
      <c r="AZ211" s="176"/>
      <c r="BA211" s="176"/>
      <c r="BB211" s="177"/>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75"/>
      <c r="AO212" s="176"/>
      <c r="AP212" s="176"/>
      <c r="AQ212" s="176"/>
      <c r="AR212" s="176"/>
      <c r="AS212" s="176"/>
      <c r="AT212" s="176"/>
      <c r="AU212" s="176"/>
      <c r="AV212" s="176"/>
      <c r="AW212" s="176"/>
      <c r="AX212" s="176"/>
      <c r="AY212" s="176"/>
      <c r="AZ212" s="176"/>
      <c r="BA212" s="176"/>
      <c r="BB212" s="177"/>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IF([12]回答表!AA45="○","○","")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75"/>
      <c r="AO213" s="176"/>
      <c r="AP213" s="176"/>
      <c r="AQ213" s="176"/>
      <c r="AR213" s="176"/>
      <c r="AS213" s="176"/>
      <c r="AT213" s="176"/>
      <c r="AU213" s="176"/>
      <c r="AV213" s="176"/>
      <c r="AW213" s="176"/>
      <c r="AX213" s="176"/>
      <c r="AY213" s="176"/>
      <c r="AZ213" s="176"/>
      <c r="BA213" s="176"/>
      <c r="BB213" s="177"/>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75"/>
      <c r="AO214" s="176"/>
      <c r="AP214" s="176"/>
      <c r="AQ214" s="176"/>
      <c r="AR214" s="176"/>
      <c r="AS214" s="176"/>
      <c r="AT214" s="176"/>
      <c r="AU214" s="176"/>
      <c r="AV214" s="176"/>
      <c r="AW214" s="176"/>
      <c r="AX214" s="176"/>
      <c r="AY214" s="176"/>
      <c r="AZ214" s="176"/>
      <c r="BA214" s="176"/>
      <c r="BB214" s="177"/>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75"/>
      <c r="AO215" s="176"/>
      <c r="AP215" s="176"/>
      <c r="AQ215" s="176"/>
      <c r="AR215" s="176"/>
      <c r="AS215" s="176"/>
      <c r="AT215" s="176"/>
      <c r="AU215" s="176"/>
      <c r="AV215" s="176"/>
      <c r="AW215" s="176"/>
      <c r="AX215" s="176"/>
      <c r="AY215" s="176"/>
      <c r="AZ215" s="176"/>
      <c r="BA215" s="176"/>
      <c r="BB215" s="177"/>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78"/>
      <c r="AO216" s="179"/>
      <c r="AP216" s="179"/>
      <c r="AQ216" s="179"/>
      <c r="AR216" s="179"/>
      <c r="AS216" s="179"/>
      <c r="AT216" s="179"/>
      <c r="AU216" s="179"/>
      <c r="AV216" s="179"/>
      <c r="AW216" s="179"/>
      <c r="AX216" s="179"/>
      <c r="AY216" s="179"/>
      <c r="AZ216" s="179"/>
      <c r="BA216" s="179"/>
      <c r="BB216" s="180"/>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IF([12]回答表!AD45="○","○","")</f>
        <v/>
      </c>
      <c r="O219" s="98"/>
      <c r="P219" s="98"/>
      <c r="Q219" s="99"/>
      <c r="R219" s="39"/>
      <c r="S219" s="39"/>
      <c r="T219" s="39"/>
      <c r="U219" s="106" t="str">
        <f>IF([12]回答表!AD45="○",[12]回答表!B350,"")</f>
        <v/>
      </c>
      <c r="V219" s="107"/>
      <c r="W219" s="107"/>
      <c r="X219" s="107"/>
      <c r="Y219" s="107"/>
      <c r="Z219" s="107"/>
      <c r="AA219" s="107"/>
      <c r="AB219" s="107"/>
      <c r="AC219" s="107"/>
      <c r="AD219" s="107"/>
      <c r="AE219" s="107"/>
      <c r="AF219" s="107"/>
      <c r="AG219" s="107"/>
      <c r="AH219" s="107"/>
      <c r="AI219" s="107"/>
      <c r="AJ219" s="108"/>
      <c r="AK219" s="61"/>
      <c r="AL219" s="61"/>
      <c r="AM219" s="106" t="str">
        <f>IF([12]回答表!AD45="○",[12]回答表!B356,"")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62"/>
      <c r="AS225" s="162"/>
      <c r="AT225" s="162"/>
      <c r="AU225" s="162"/>
      <c r="AV225" s="162"/>
      <c r="AW225" s="162"/>
      <c r="AX225" s="162"/>
      <c r="AY225" s="162"/>
      <c r="AZ225" s="162"/>
      <c r="BA225" s="162"/>
      <c r="BB225" s="162"/>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63"/>
      <c r="AS226" s="163"/>
      <c r="AT226" s="163"/>
      <c r="AU226" s="163"/>
      <c r="AV226" s="163"/>
      <c r="AW226" s="163"/>
      <c r="AX226" s="163"/>
      <c r="AY226" s="163"/>
      <c r="AZ226" s="163"/>
      <c r="BA226" s="163"/>
      <c r="BB226" s="163"/>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IF([12]回答表!X46="○","○","")</f>
        <v/>
      </c>
      <c r="O231" s="98"/>
      <c r="P231" s="98"/>
      <c r="Q231" s="99"/>
      <c r="R231" s="39"/>
      <c r="S231" s="39"/>
      <c r="T231" s="39"/>
      <c r="U231" s="106" t="str">
        <f>IF([12]回答表!X46="○",[12]回答表!B368,IF([12]回答表!AA46="○",[12]回答表!B382,""))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IF([12]回答表!X46="○",[12]回答表!BC375,IF([12]回答表!AA46="○",[12]回答表!BC389,""))</f>
        <v/>
      </c>
      <c r="AR231" s="150"/>
      <c r="AS231" s="150"/>
      <c r="AT231" s="150"/>
      <c r="AU231" s="164" t="s">
        <v>63</v>
      </c>
      <c r="AV231" s="165"/>
      <c r="AW231" s="165"/>
      <c r="AX231" s="166"/>
      <c r="AY231" s="150" t="str">
        <f>IF([12]回答表!X46="○",[12]回答表!BC380,IF([12]回答表!AA46="○",[12]回答表!BC394,""))</f>
        <v/>
      </c>
      <c r="AZ231" s="150"/>
      <c r="BA231" s="150"/>
      <c r="BB231" s="150"/>
      <c r="BC231" s="40"/>
      <c r="BD231" s="35"/>
      <c r="BE231" s="115" t="str">
        <f>IF([12]回答表!X46="○",[12]回答表!S374,IF([12]回答表!AA46="○",[12]回答表!S388,""))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67"/>
      <c r="AV232" s="168"/>
      <c r="AW232" s="168"/>
      <c r="AX232" s="169"/>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IF([12]回答表!X46="○",[12]回答表!BC376,IF([12]回答表!AA46="○",[12]回答表!BC390,""))</f>
        <v/>
      </c>
      <c r="AR233" s="150"/>
      <c r="AS233" s="150"/>
      <c r="AT233" s="150"/>
      <c r="AU233" s="167"/>
      <c r="AV233" s="168"/>
      <c r="AW233" s="168"/>
      <c r="AX233" s="169"/>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67"/>
      <c r="AV234" s="168"/>
      <c r="AW234" s="168"/>
      <c r="AX234" s="169"/>
      <c r="AY234" s="150"/>
      <c r="AZ234" s="150"/>
      <c r="BA234" s="150"/>
      <c r="BB234" s="150"/>
      <c r="BC234" s="40"/>
      <c r="BD234" s="35"/>
      <c r="BE234" s="82" t="str">
        <f>IF([12]回答表!X46="○",[12]回答表!V374,IF([12]回答表!AA46="○",[12]回答表!V388,""))</f>
        <v/>
      </c>
      <c r="BF234" s="83"/>
      <c r="BG234" s="83"/>
      <c r="BH234" s="83"/>
      <c r="BI234" s="82" t="str">
        <f>IF([12]回答表!X46="○",[12]回答表!V375,IF([12]回答表!AA46="○",[12]回答表!V389,""))</f>
        <v/>
      </c>
      <c r="BJ234" s="83"/>
      <c r="BK234" s="83"/>
      <c r="BL234" s="86"/>
      <c r="BM234" s="82" t="str">
        <f>IF([12]回答表!X46="○",[12]回答表!V376,IF([12]回答表!AA46="○",[12]回答表!V390,""))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IF([12]回答表!X46="○",[12]回答表!BC377,IF([12]回答表!AA46="○",[12]回答表!BC391,""))</f>
        <v/>
      </c>
      <c r="AR235" s="150"/>
      <c r="AS235" s="150"/>
      <c r="AT235" s="150"/>
      <c r="AU235" s="170"/>
      <c r="AV235" s="171"/>
      <c r="AW235" s="171"/>
      <c r="AX235" s="172"/>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60" t="str">
        <f>IF([12]回答表!X46="○",[12]回答表!BC381,IF([12]回答表!AA46="○",[12]回答表!BC395,""))</f>
        <v/>
      </c>
      <c r="AZ236" s="160"/>
      <c r="BA236" s="160"/>
      <c r="BB236" s="160"/>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IF([12]回答表!AA46="○","○","")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61" t="str">
        <f>IF([12]回答表!X46="○",[12]回答表!BC378,IF([12]回答表!AA46="○",[12]回答表!BC392,""))</f>
        <v/>
      </c>
      <c r="AR237" s="150"/>
      <c r="AS237" s="150"/>
      <c r="AT237" s="150"/>
      <c r="AU237" s="149"/>
      <c r="AV237" s="149"/>
      <c r="AW237" s="149"/>
      <c r="AX237" s="149"/>
      <c r="AY237" s="160"/>
      <c r="AZ237" s="160"/>
      <c r="BA237" s="160"/>
      <c r="BB237" s="160"/>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60"/>
      <c r="AZ238" s="160"/>
      <c r="BA238" s="160"/>
      <c r="BB238" s="160"/>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IF([12]回答表!X46="○",[12]回答表!BC379,IF([12]回答表!AA46="○",[12]回答表!BC393,""))</f>
        <v/>
      </c>
      <c r="AR239" s="150"/>
      <c r="AS239" s="150"/>
      <c r="AT239" s="150"/>
      <c r="AU239" s="149"/>
      <c r="AV239" s="149"/>
      <c r="AW239" s="149"/>
      <c r="AX239" s="149"/>
      <c r="AY239" s="160"/>
      <c r="AZ239" s="160"/>
      <c r="BA239" s="160"/>
      <c r="BB239" s="160"/>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60"/>
      <c r="AZ240" s="160"/>
      <c r="BA240" s="160"/>
      <c r="BB240" s="160"/>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IF([12]回答表!AD46="○","○","")</f>
        <v/>
      </c>
      <c r="O243" s="98"/>
      <c r="P243" s="98"/>
      <c r="Q243" s="99"/>
      <c r="R243" s="39"/>
      <c r="S243" s="39"/>
      <c r="T243" s="39"/>
      <c r="U243" s="106" t="str">
        <f>IF([12]回答表!AD46="○",[12]回答表!B396,"")</f>
        <v/>
      </c>
      <c r="V243" s="107"/>
      <c r="W243" s="107"/>
      <c r="X243" s="107"/>
      <c r="Y243" s="107"/>
      <c r="Z243" s="107"/>
      <c r="AA243" s="107"/>
      <c r="AB243" s="107"/>
      <c r="AC243" s="107"/>
      <c r="AD243" s="107"/>
      <c r="AE243" s="107"/>
      <c r="AF243" s="107"/>
      <c r="AG243" s="107"/>
      <c r="AH243" s="107"/>
      <c r="AI243" s="107"/>
      <c r="AJ243" s="108"/>
      <c r="AK243" s="56"/>
      <c r="AL243" s="56"/>
      <c r="AM243" s="106" t="str">
        <f>IF([12]回答表!AD46="○",[12]回答表!B402,"")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IF([12]回答表!X47="○","○","")</f>
        <v/>
      </c>
      <c r="O254" s="98"/>
      <c r="P254" s="98"/>
      <c r="Q254" s="99"/>
      <c r="R254" s="39"/>
      <c r="S254" s="39"/>
      <c r="T254" s="39"/>
      <c r="U254" s="106" t="str">
        <f>IF([12]回答表!X47="○",[12]回答表!B414,IF([12]回答表!AA47="○",[12]回答表!B431,""))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IF([12]回答表!X47="○",[12]回答表!B424,IF([12]回答表!AA47="○",[12]回答表!B441,""))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IF([12]回答表!X47="○",[12]回答表!G420,IF([12]回答表!AA47="○",[12]回答表!G437,""))</f>
        <v/>
      </c>
      <c r="AN256" s="119"/>
      <c r="AO256" s="119"/>
      <c r="AP256" s="119"/>
      <c r="AQ256" s="119"/>
      <c r="AR256" s="119"/>
      <c r="AS256" s="119"/>
      <c r="AT256" s="120"/>
      <c r="AU256" s="118" t="str">
        <f>IF([12]回答表!X47="○",[12]回答表!G421,IF([12]回答表!AA47="○",[12]回答表!G438,""))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IF([12]回答表!X47="○",[12]回答表!E424,IF([12]回答表!AA47="○",[12]回答表!E441,""))</f>
        <v/>
      </c>
      <c r="BF257" s="83"/>
      <c r="BG257" s="83"/>
      <c r="BH257" s="83"/>
      <c r="BI257" s="82" t="str">
        <f>IF([12]回答表!X47="○",[12]回答表!E425,IF([12]回答表!AA47="○",[12]回答表!E442,""))</f>
        <v/>
      </c>
      <c r="BJ257" s="83"/>
      <c r="BK257" s="83"/>
      <c r="BL257" s="86"/>
      <c r="BM257" s="82" t="str">
        <f>IF([12]回答表!X47="○",[12]回答表!E426,IF([12]回答表!AA47="○",[12]回答表!E443,""))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IF([12]回答表!AA47="○","○","")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IF([12]回答表!AD47="○","○","")</f>
        <v/>
      </c>
      <c r="O266" s="98"/>
      <c r="P266" s="98"/>
      <c r="Q266" s="99"/>
      <c r="R266" s="39"/>
      <c r="S266" s="39"/>
      <c r="T266" s="39"/>
      <c r="U266" s="106" t="str">
        <f>IF([12]回答表!AD47="○",[12]回答表!B448,"")</f>
        <v/>
      </c>
      <c r="V266" s="107"/>
      <c r="W266" s="107"/>
      <c r="X266" s="107"/>
      <c r="Y266" s="107"/>
      <c r="Z266" s="107"/>
      <c r="AA266" s="107"/>
      <c r="AB266" s="107"/>
      <c r="AC266" s="107"/>
      <c r="AD266" s="107"/>
      <c r="AE266" s="107"/>
      <c r="AF266" s="107"/>
      <c r="AG266" s="107"/>
      <c r="AH266" s="107"/>
      <c r="AI266" s="107"/>
      <c r="AJ266" s="108"/>
      <c r="AK266" s="50"/>
      <c r="AL266" s="50"/>
      <c r="AM266" s="106" t="str">
        <f>IF([12]回答表!AD47="○",[12]回答表!B454,"")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IF([12]回答表!R48="○",[12]回答表!B467,"")</f>
        <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2"/>
  <conditionalFormatting sqref="A29:XFD30 A28:BI28 BR28:XFD28">
    <cfRule type="expression" dxfId="0"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54248-D1FD-445A-BEDC-241AC464784D}">
  <sheetPr>
    <pageSetUpPr fitToPage="1"/>
  </sheetPr>
  <dimension ref="A1:CE298"/>
  <sheetViews>
    <sheetView showZeros="0" zoomScale="55" zoomScaleNormal="55" workbookViewId="0">
      <selection activeCell="CA248" sqref="CA248"/>
    </sheetView>
  </sheetViews>
  <sheetFormatPr defaultColWidth="2.875" defaultRowHeight="12.6" customHeight="1" x14ac:dyDescent="0.4"/>
  <cols>
    <col min="1" max="70" width="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63" t="s">
        <v>0</v>
      </c>
      <c r="D8" s="264"/>
      <c r="E8" s="264"/>
      <c r="F8" s="264"/>
      <c r="G8" s="264"/>
      <c r="H8" s="264"/>
      <c r="I8" s="264"/>
      <c r="J8" s="264"/>
      <c r="K8" s="264"/>
      <c r="L8" s="264"/>
      <c r="M8" s="264"/>
      <c r="N8" s="264"/>
      <c r="O8" s="264"/>
      <c r="P8" s="264"/>
      <c r="Q8" s="264"/>
      <c r="R8" s="264"/>
      <c r="S8" s="264"/>
      <c r="T8" s="264"/>
      <c r="U8" s="265" t="s">
        <v>1</v>
      </c>
      <c r="V8" s="266"/>
      <c r="W8" s="266"/>
      <c r="X8" s="266"/>
      <c r="Y8" s="266"/>
      <c r="Z8" s="266"/>
      <c r="AA8" s="266"/>
      <c r="AB8" s="266"/>
      <c r="AC8" s="266"/>
      <c r="AD8" s="266"/>
      <c r="AE8" s="266"/>
      <c r="AF8" s="266"/>
      <c r="AG8" s="266"/>
      <c r="AH8" s="266"/>
      <c r="AI8" s="266"/>
      <c r="AJ8" s="266"/>
      <c r="AK8" s="266"/>
      <c r="AL8" s="266"/>
      <c r="AM8" s="266"/>
      <c r="AN8" s="267"/>
      <c r="AO8" s="268" t="s">
        <v>2</v>
      </c>
      <c r="AP8" s="266"/>
      <c r="AQ8" s="266"/>
      <c r="AR8" s="266"/>
      <c r="AS8" s="266"/>
      <c r="AT8" s="266"/>
      <c r="AU8" s="266"/>
      <c r="AV8" s="266"/>
      <c r="AW8" s="266"/>
      <c r="AX8" s="266"/>
      <c r="AY8" s="266"/>
      <c r="AZ8" s="266"/>
      <c r="BA8" s="266"/>
      <c r="BB8" s="266"/>
      <c r="BC8" s="266"/>
      <c r="BD8" s="266"/>
      <c r="BE8" s="267"/>
      <c r="BF8" s="263" t="s">
        <v>3</v>
      </c>
      <c r="BG8" s="269"/>
      <c r="BH8" s="269"/>
      <c r="BI8" s="269"/>
      <c r="BJ8" s="269"/>
      <c r="BK8" s="269"/>
      <c r="BL8" s="269"/>
      <c r="BM8" s="269"/>
      <c r="BN8" s="269"/>
      <c r="BO8" s="269"/>
      <c r="BP8" s="269"/>
      <c r="BQ8" s="8"/>
    </row>
    <row r="9" spans="3:70" ht="15.6" customHeight="1" x14ac:dyDescent="0.4">
      <c r="C9" s="264"/>
      <c r="D9" s="264"/>
      <c r="E9" s="264"/>
      <c r="F9" s="264"/>
      <c r="G9" s="264"/>
      <c r="H9" s="264"/>
      <c r="I9" s="264"/>
      <c r="J9" s="264"/>
      <c r="K9" s="264"/>
      <c r="L9" s="264"/>
      <c r="M9" s="264"/>
      <c r="N9" s="264"/>
      <c r="O9" s="264"/>
      <c r="P9" s="264"/>
      <c r="Q9" s="264"/>
      <c r="R9" s="264"/>
      <c r="S9" s="264"/>
      <c r="T9" s="264"/>
      <c r="U9" s="219"/>
      <c r="V9" s="217"/>
      <c r="W9" s="217"/>
      <c r="X9" s="217"/>
      <c r="Y9" s="217"/>
      <c r="Z9" s="217"/>
      <c r="AA9" s="217"/>
      <c r="AB9" s="217"/>
      <c r="AC9" s="217"/>
      <c r="AD9" s="217"/>
      <c r="AE9" s="217"/>
      <c r="AF9" s="217"/>
      <c r="AG9" s="217"/>
      <c r="AH9" s="217"/>
      <c r="AI9" s="217"/>
      <c r="AJ9" s="217"/>
      <c r="AK9" s="217"/>
      <c r="AL9" s="217"/>
      <c r="AM9" s="217"/>
      <c r="AN9" s="218"/>
      <c r="AO9" s="219"/>
      <c r="AP9" s="217"/>
      <c r="AQ9" s="217"/>
      <c r="AR9" s="217"/>
      <c r="AS9" s="217"/>
      <c r="AT9" s="217"/>
      <c r="AU9" s="217"/>
      <c r="AV9" s="217"/>
      <c r="AW9" s="217"/>
      <c r="AX9" s="217"/>
      <c r="AY9" s="217"/>
      <c r="AZ9" s="217"/>
      <c r="BA9" s="217"/>
      <c r="BB9" s="217"/>
      <c r="BC9" s="217"/>
      <c r="BD9" s="217"/>
      <c r="BE9" s="218"/>
      <c r="BF9" s="269"/>
      <c r="BG9" s="269"/>
      <c r="BH9" s="269"/>
      <c r="BI9" s="269"/>
      <c r="BJ9" s="269"/>
      <c r="BK9" s="269"/>
      <c r="BL9" s="269"/>
      <c r="BM9" s="269"/>
      <c r="BN9" s="269"/>
      <c r="BO9" s="269"/>
      <c r="BP9" s="269"/>
      <c r="BQ9" s="8"/>
    </row>
    <row r="10" spans="3:70" ht="15.6" customHeight="1" x14ac:dyDescent="0.4">
      <c r="C10" s="264"/>
      <c r="D10" s="264"/>
      <c r="E10" s="264"/>
      <c r="F10" s="264"/>
      <c r="G10" s="264"/>
      <c r="H10" s="264"/>
      <c r="I10" s="264"/>
      <c r="J10" s="264"/>
      <c r="K10" s="264"/>
      <c r="L10" s="264"/>
      <c r="M10" s="264"/>
      <c r="N10" s="264"/>
      <c r="O10" s="264"/>
      <c r="P10" s="264"/>
      <c r="Q10" s="264"/>
      <c r="R10" s="264"/>
      <c r="S10" s="264"/>
      <c r="T10" s="264"/>
      <c r="U10" s="220"/>
      <c r="V10" s="221"/>
      <c r="W10" s="221"/>
      <c r="X10" s="221"/>
      <c r="Y10" s="221"/>
      <c r="Z10" s="221"/>
      <c r="AA10" s="221"/>
      <c r="AB10" s="221"/>
      <c r="AC10" s="221"/>
      <c r="AD10" s="221"/>
      <c r="AE10" s="221"/>
      <c r="AF10" s="221"/>
      <c r="AG10" s="221"/>
      <c r="AH10" s="221"/>
      <c r="AI10" s="221"/>
      <c r="AJ10" s="221"/>
      <c r="AK10" s="221"/>
      <c r="AL10" s="221"/>
      <c r="AM10" s="221"/>
      <c r="AN10" s="222"/>
      <c r="AO10" s="220"/>
      <c r="AP10" s="221"/>
      <c r="AQ10" s="221"/>
      <c r="AR10" s="221"/>
      <c r="AS10" s="221"/>
      <c r="AT10" s="221"/>
      <c r="AU10" s="221"/>
      <c r="AV10" s="221"/>
      <c r="AW10" s="221"/>
      <c r="AX10" s="221"/>
      <c r="AY10" s="221"/>
      <c r="AZ10" s="221"/>
      <c r="BA10" s="221"/>
      <c r="BB10" s="221"/>
      <c r="BC10" s="221"/>
      <c r="BD10" s="221"/>
      <c r="BE10" s="222"/>
      <c r="BF10" s="269"/>
      <c r="BG10" s="269"/>
      <c r="BH10" s="269"/>
      <c r="BI10" s="269"/>
      <c r="BJ10" s="269"/>
      <c r="BK10" s="269"/>
      <c r="BL10" s="269"/>
      <c r="BM10" s="269"/>
      <c r="BN10" s="269"/>
      <c r="BO10" s="269"/>
      <c r="BP10" s="269"/>
      <c r="BQ10" s="8"/>
    </row>
    <row r="11" spans="3:70" ht="15.6" customHeight="1" x14ac:dyDescent="0.4">
      <c r="C11" s="270" t="str">
        <f>IF(COUNTIF([9]回答表!K15,"*")&gt;0,[9]回答表!K15,"")</f>
        <v>大館市</v>
      </c>
      <c r="D11" s="264"/>
      <c r="E11" s="264"/>
      <c r="F11" s="264"/>
      <c r="G11" s="264"/>
      <c r="H11" s="264"/>
      <c r="I11" s="264"/>
      <c r="J11" s="264"/>
      <c r="K11" s="264"/>
      <c r="L11" s="264"/>
      <c r="M11" s="264"/>
      <c r="N11" s="264"/>
      <c r="O11" s="264"/>
      <c r="P11" s="264"/>
      <c r="Q11" s="264"/>
      <c r="R11" s="264"/>
      <c r="S11" s="264"/>
      <c r="T11" s="264"/>
      <c r="U11" s="271" t="str">
        <f>IF(COUNTIF([9]回答表!F17,"*")&gt;0,[9]回答表!F17,"")</f>
        <v>工業用水道事業</v>
      </c>
      <c r="V11" s="272"/>
      <c r="W11" s="272"/>
      <c r="X11" s="272"/>
      <c r="Y11" s="272"/>
      <c r="Z11" s="272"/>
      <c r="AA11" s="272"/>
      <c r="AB11" s="272"/>
      <c r="AC11" s="272"/>
      <c r="AD11" s="272"/>
      <c r="AE11" s="272"/>
      <c r="AF11" s="266"/>
      <c r="AG11" s="266"/>
      <c r="AH11" s="266"/>
      <c r="AI11" s="266"/>
      <c r="AJ11" s="266"/>
      <c r="AK11" s="266"/>
      <c r="AL11" s="266"/>
      <c r="AM11" s="266"/>
      <c r="AN11" s="267"/>
      <c r="AO11" s="277" t="str">
        <f>IF(COUNTIF([9]回答表!W17,"*")&gt;0,[9]回答表!W17,"")</f>
        <v>―</v>
      </c>
      <c r="AP11" s="266"/>
      <c r="AQ11" s="266"/>
      <c r="AR11" s="266"/>
      <c r="AS11" s="266"/>
      <c r="AT11" s="266"/>
      <c r="AU11" s="266"/>
      <c r="AV11" s="266"/>
      <c r="AW11" s="266"/>
      <c r="AX11" s="266"/>
      <c r="AY11" s="266"/>
      <c r="AZ11" s="266"/>
      <c r="BA11" s="266"/>
      <c r="BB11" s="266"/>
      <c r="BC11" s="266"/>
      <c r="BD11" s="266"/>
      <c r="BE11" s="267"/>
      <c r="BF11" s="270" t="str">
        <f>IF(COUNTIF([9]回答表!F19,"*")&gt;0,[9]回答表!F19,"")</f>
        <v>ー</v>
      </c>
      <c r="BG11" s="269"/>
      <c r="BH11" s="269"/>
      <c r="BI11" s="269"/>
      <c r="BJ11" s="269"/>
      <c r="BK11" s="269"/>
      <c r="BL11" s="269"/>
      <c r="BM11" s="269"/>
      <c r="BN11" s="269"/>
      <c r="BO11" s="269"/>
      <c r="BP11" s="269"/>
      <c r="BQ11" s="6"/>
    </row>
    <row r="12" spans="3:70" ht="15.6" customHeight="1" x14ac:dyDescent="0.4">
      <c r="C12" s="264"/>
      <c r="D12" s="264"/>
      <c r="E12" s="264"/>
      <c r="F12" s="264"/>
      <c r="G12" s="264"/>
      <c r="H12" s="264"/>
      <c r="I12" s="264"/>
      <c r="J12" s="264"/>
      <c r="K12" s="264"/>
      <c r="L12" s="264"/>
      <c r="M12" s="264"/>
      <c r="N12" s="264"/>
      <c r="O12" s="264"/>
      <c r="P12" s="264"/>
      <c r="Q12" s="264"/>
      <c r="R12" s="264"/>
      <c r="S12" s="264"/>
      <c r="T12" s="264"/>
      <c r="U12" s="273"/>
      <c r="V12" s="274"/>
      <c r="W12" s="274"/>
      <c r="X12" s="274"/>
      <c r="Y12" s="274"/>
      <c r="Z12" s="274"/>
      <c r="AA12" s="274"/>
      <c r="AB12" s="274"/>
      <c r="AC12" s="274"/>
      <c r="AD12" s="274"/>
      <c r="AE12" s="274"/>
      <c r="AF12" s="217"/>
      <c r="AG12" s="217"/>
      <c r="AH12" s="217"/>
      <c r="AI12" s="217"/>
      <c r="AJ12" s="217"/>
      <c r="AK12" s="217"/>
      <c r="AL12" s="217"/>
      <c r="AM12" s="217"/>
      <c r="AN12" s="218"/>
      <c r="AO12" s="219"/>
      <c r="AP12" s="217"/>
      <c r="AQ12" s="217"/>
      <c r="AR12" s="217"/>
      <c r="AS12" s="217"/>
      <c r="AT12" s="217"/>
      <c r="AU12" s="217"/>
      <c r="AV12" s="217"/>
      <c r="AW12" s="217"/>
      <c r="AX12" s="217"/>
      <c r="AY12" s="217"/>
      <c r="AZ12" s="217"/>
      <c r="BA12" s="217"/>
      <c r="BB12" s="217"/>
      <c r="BC12" s="217"/>
      <c r="BD12" s="217"/>
      <c r="BE12" s="218"/>
      <c r="BF12" s="269"/>
      <c r="BG12" s="269"/>
      <c r="BH12" s="269"/>
      <c r="BI12" s="269"/>
      <c r="BJ12" s="269"/>
      <c r="BK12" s="269"/>
      <c r="BL12" s="269"/>
      <c r="BM12" s="269"/>
      <c r="BN12" s="269"/>
      <c r="BO12" s="269"/>
      <c r="BP12" s="269"/>
      <c r="BQ12" s="6"/>
    </row>
    <row r="13" spans="3:70" ht="15.6" customHeight="1" x14ac:dyDescent="0.4">
      <c r="C13" s="264"/>
      <c r="D13" s="264"/>
      <c r="E13" s="264"/>
      <c r="F13" s="264"/>
      <c r="G13" s="264"/>
      <c r="H13" s="264"/>
      <c r="I13" s="264"/>
      <c r="J13" s="264"/>
      <c r="K13" s="264"/>
      <c r="L13" s="264"/>
      <c r="M13" s="264"/>
      <c r="N13" s="264"/>
      <c r="O13" s="264"/>
      <c r="P13" s="264"/>
      <c r="Q13" s="264"/>
      <c r="R13" s="264"/>
      <c r="S13" s="264"/>
      <c r="T13" s="264"/>
      <c r="U13" s="275"/>
      <c r="V13" s="276"/>
      <c r="W13" s="276"/>
      <c r="X13" s="276"/>
      <c r="Y13" s="276"/>
      <c r="Z13" s="276"/>
      <c r="AA13" s="276"/>
      <c r="AB13" s="276"/>
      <c r="AC13" s="276"/>
      <c r="AD13" s="276"/>
      <c r="AE13" s="276"/>
      <c r="AF13" s="221"/>
      <c r="AG13" s="221"/>
      <c r="AH13" s="221"/>
      <c r="AI13" s="221"/>
      <c r="AJ13" s="221"/>
      <c r="AK13" s="221"/>
      <c r="AL13" s="221"/>
      <c r="AM13" s="221"/>
      <c r="AN13" s="222"/>
      <c r="AO13" s="220"/>
      <c r="AP13" s="221"/>
      <c r="AQ13" s="221"/>
      <c r="AR13" s="221"/>
      <c r="AS13" s="221"/>
      <c r="AT13" s="221"/>
      <c r="AU13" s="221"/>
      <c r="AV13" s="221"/>
      <c r="AW13" s="221"/>
      <c r="AX13" s="221"/>
      <c r="AY13" s="221"/>
      <c r="AZ13" s="221"/>
      <c r="BA13" s="221"/>
      <c r="BB13" s="221"/>
      <c r="BC13" s="221"/>
      <c r="BD13" s="221"/>
      <c r="BE13" s="222"/>
      <c r="BF13" s="269"/>
      <c r="BG13" s="269"/>
      <c r="BH13" s="269"/>
      <c r="BI13" s="269"/>
      <c r="BJ13" s="269"/>
      <c r="BK13" s="269"/>
      <c r="BL13" s="269"/>
      <c r="BM13" s="269"/>
      <c r="BN13" s="269"/>
      <c r="BO13" s="269"/>
      <c r="BP13" s="269"/>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30" t="s">
        <v>4</v>
      </c>
      <c r="E18" s="231"/>
      <c r="F18" s="231"/>
      <c r="G18" s="231"/>
      <c r="H18" s="231"/>
      <c r="I18" s="231"/>
      <c r="J18" s="231"/>
      <c r="K18" s="231"/>
      <c r="L18" s="231"/>
      <c r="M18" s="231"/>
      <c r="N18" s="231"/>
      <c r="O18" s="231"/>
      <c r="P18" s="231"/>
      <c r="Q18" s="231"/>
      <c r="R18" s="231"/>
      <c r="S18" s="231"/>
      <c r="T18" s="231"/>
      <c r="U18" s="231"/>
      <c r="V18" s="231"/>
      <c r="W18" s="231"/>
      <c r="X18" s="231"/>
      <c r="Y18" s="231"/>
      <c r="Z18" s="231"/>
      <c r="AA18" s="231"/>
      <c r="AB18" s="231"/>
      <c r="AC18" s="231"/>
      <c r="AD18" s="231"/>
      <c r="AE18" s="231"/>
      <c r="AF18" s="231"/>
      <c r="AG18" s="231"/>
      <c r="AH18" s="231"/>
      <c r="AI18" s="231"/>
      <c r="AJ18" s="231"/>
      <c r="AK18" s="231"/>
      <c r="AL18" s="231"/>
      <c r="AM18" s="231"/>
      <c r="AN18" s="231"/>
      <c r="AO18" s="231"/>
      <c r="AP18" s="231"/>
      <c r="AQ18" s="231"/>
      <c r="AR18" s="231"/>
      <c r="AS18" s="231"/>
      <c r="AT18" s="231"/>
      <c r="AU18" s="231"/>
      <c r="AV18" s="231"/>
      <c r="AW18" s="231"/>
      <c r="AX18" s="231"/>
      <c r="AY18" s="231"/>
      <c r="AZ18" s="232"/>
      <c r="BA18" s="15"/>
      <c r="BB18" s="15"/>
      <c r="BC18" s="15"/>
      <c r="BD18" s="15"/>
      <c r="BE18" s="15"/>
      <c r="BF18" s="15"/>
      <c r="BG18" s="15"/>
      <c r="BH18" s="15"/>
      <c r="BI18" s="15"/>
      <c r="BJ18" s="15"/>
      <c r="BK18" s="16"/>
      <c r="BR18" s="13"/>
    </row>
    <row r="19" spans="3:83" ht="15.6" customHeight="1" x14ac:dyDescent="0.4">
      <c r="C19" s="14"/>
      <c r="D19" s="233"/>
      <c r="E19" s="234"/>
      <c r="F19" s="234"/>
      <c r="G19" s="234"/>
      <c r="H19" s="234"/>
      <c r="I19" s="234"/>
      <c r="J19" s="234"/>
      <c r="K19" s="234"/>
      <c r="L19" s="234"/>
      <c r="M19" s="234"/>
      <c r="N19" s="234"/>
      <c r="O19" s="234"/>
      <c r="P19" s="234"/>
      <c r="Q19" s="234"/>
      <c r="R19" s="234"/>
      <c r="S19" s="234"/>
      <c r="T19" s="234"/>
      <c r="U19" s="234"/>
      <c r="V19" s="234"/>
      <c r="W19" s="234"/>
      <c r="X19" s="234"/>
      <c r="Y19" s="234"/>
      <c r="Z19" s="234"/>
      <c r="AA19" s="234"/>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5"/>
      <c r="BA19" s="15"/>
      <c r="BB19" s="15"/>
      <c r="BC19" s="15"/>
      <c r="BD19" s="15"/>
      <c r="BE19" s="15"/>
      <c r="BF19" s="15"/>
      <c r="BG19" s="15"/>
      <c r="BH19" s="15"/>
      <c r="BI19" s="15"/>
      <c r="BJ19" s="15"/>
      <c r="BK19" s="16"/>
      <c r="BR19" s="13"/>
    </row>
    <row r="20" spans="3:83" ht="13.35" customHeight="1" x14ac:dyDescent="0.4">
      <c r="C20" s="14"/>
      <c r="D20" s="236" t="s">
        <v>5</v>
      </c>
      <c r="E20" s="237"/>
      <c r="F20" s="237"/>
      <c r="G20" s="237"/>
      <c r="H20" s="237"/>
      <c r="I20" s="237"/>
      <c r="J20" s="238"/>
      <c r="K20" s="236" t="s">
        <v>6</v>
      </c>
      <c r="L20" s="237"/>
      <c r="M20" s="237"/>
      <c r="N20" s="237"/>
      <c r="O20" s="237"/>
      <c r="P20" s="237"/>
      <c r="Q20" s="238"/>
      <c r="R20" s="236" t="s">
        <v>7</v>
      </c>
      <c r="S20" s="237"/>
      <c r="T20" s="237"/>
      <c r="U20" s="237"/>
      <c r="V20" s="237"/>
      <c r="W20" s="237"/>
      <c r="X20" s="238"/>
      <c r="Y20" s="245" t="s">
        <v>8</v>
      </c>
      <c r="Z20" s="246"/>
      <c r="AA20" s="246"/>
      <c r="AB20" s="246"/>
      <c r="AC20" s="246"/>
      <c r="AD20" s="246"/>
      <c r="AE20" s="246"/>
      <c r="AF20" s="246"/>
      <c r="AG20" s="246"/>
      <c r="AH20" s="246"/>
      <c r="AI20" s="246"/>
      <c r="AJ20" s="246"/>
      <c r="AK20" s="246"/>
      <c r="AL20" s="246"/>
      <c r="AM20" s="246"/>
      <c r="AN20" s="246"/>
      <c r="AO20" s="246"/>
      <c r="AP20" s="246"/>
      <c r="AQ20" s="246"/>
      <c r="AR20" s="246"/>
      <c r="AS20" s="246"/>
      <c r="AT20" s="246"/>
      <c r="AU20" s="246"/>
      <c r="AV20" s="246"/>
      <c r="AW20" s="246"/>
      <c r="AX20" s="246"/>
      <c r="AY20" s="246"/>
      <c r="AZ20" s="247"/>
      <c r="BA20" s="17"/>
      <c r="BB20" s="254" t="s">
        <v>9</v>
      </c>
      <c r="BC20" s="255"/>
      <c r="BD20" s="255"/>
      <c r="BE20" s="255"/>
      <c r="BF20" s="255"/>
      <c r="BG20" s="255"/>
      <c r="BH20" s="255"/>
      <c r="BI20" s="223"/>
      <c r="BJ20" s="224"/>
      <c r="BK20" s="16"/>
      <c r="BR20" s="18"/>
    </row>
    <row r="21" spans="3:83" ht="13.35" customHeight="1" x14ac:dyDescent="0.4">
      <c r="C21" s="14"/>
      <c r="D21" s="239"/>
      <c r="E21" s="240"/>
      <c r="F21" s="240"/>
      <c r="G21" s="240"/>
      <c r="H21" s="240"/>
      <c r="I21" s="240"/>
      <c r="J21" s="241"/>
      <c r="K21" s="239"/>
      <c r="L21" s="240"/>
      <c r="M21" s="240"/>
      <c r="N21" s="240"/>
      <c r="O21" s="240"/>
      <c r="P21" s="240"/>
      <c r="Q21" s="241"/>
      <c r="R21" s="239"/>
      <c r="S21" s="240"/>
      <c r="T21" s="240"/>
      <c r="U21" s="240"/>
      <c r="V21" s="240"/>
      <c r="W21" s="240"/>
      <c r="X21" s="241"/>
      <c r="Y21" s="248"/>
      <c r="Z21" s="249"/>
      <c r="AA21" s="249"/>
      <c r="AB21" s="249"/>
      <c r="AC21" s="249"/>
      <c r="AD21" s="249"/>
      <c r="AE21" s="249"/>
      <c r="AF21" s="249"/>
      <c r="AG21" s="249"/>
      <c r="AH21" s="249"/>
      <c r="AI21" s="249"/>
      <c r="AJ21" s="249"/>
      <c r="AK21" s="249"/>
      <c r="AL21" s="249"/>
      <c r="AM21" s="249"/>
      <c r="AN21" s="249"/>
      <c r="AO21" s="249"/>
      <c r="AP21" s="249"/>
      <c r="AQ21" s="249"/>
      <c r="AR21" s="249"/>
      <c r="AS21" s="249"/>
      <c r="AT21" s="249"/>
      <c r="AU21" s="249"/>
      <c r="AV21" s="249"/>
      <c r="AW21" s="249"/>
      <c r="AX21" s="249"/>
      <c r="AY21" s="249"/>
      <c r="AZ21" s="250"/>
      <c r="BA21" s="17"/>
      <c r="BB21" s="256"/>
      <c r="BC21" s="257"/>
      <c r="BD21" s="257"/>
      <c r="BE21" s="257"/>
      <c r="BF21" s="257"/>
      <c r="BG21" s="257"/>
      <c r="BH21" s="257"/>
      <c r="BI21" s="225"/>
      <c r="BJ21" s="226"/>
      <c r="BK21" s="16"/>
      <c r="BR21" s="18"/>
    </row>
    <row r="22" spans="3:83" ht="13.35" customHeight="1" x14ac:dyDescent="0.4">
      <c r="C22" s="14"/>
      <c r="D22" s="239"/>
      <c r="E22" s="240"/>
      <c r="F22" s="240"/>
      <c r="G22" s="240"/>
      <c r="H22" s="240"/>
      <c r="I22" s="240"/>
      <c r="J22" s="241"/>
      <c r="K22" s="239"/>
      <c r="L22" s="240"/>
      <c r="M22" s="240"/>
      <c r="N22" s="240"/>
      <c r="O22" s="240"/>
      <c r="P22" s="240"/>
      <c r="Q22" s="241"/>
      <c r="R22" s="239"/>
      <c r="S22" s="240"/>
      <c r="T22" s="240"/>
      <c r="U22" s="240"/>
      <c r="V22" s="240"/>
      <c r="W22" s="240"/>
      <c r="X22" s="241"/>
      <c r="Y22" s="251"/>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3"/>
      <c r="BA22" s="19"/>
      <c r="BB22" s="256"/>
      <c r="BC22" s="257"/>
      <c r="BD22" s="257"/>
      <c r="BE22" s="257"/>
      <c r="BF22" s="257"/>
      <c r="BG22" s="257"/>
      <c r="BH22" s="257"/>
      <c r="BI22" s="225"/>
      <c r="BJ22" s="226"/>
      <c r="BK22" s="16"/>
      <c r="BR22" s="18"/>
    </row>
    <row r="23" spans="3:83" ht="31.35" customHeight="1" x14ac:dyDescent="0.4">
      <c r="C23" s="14"/>
      <c r="D23" s="242"/>
      <c r="E23" s="243"/>
      <c r="F23" s="243"/>
      <c r="G23" s="243"/>
      <c r="H23" s="243"/>
      <c r="I23" s="243"/>
      <c r="J23" s="244"/>
      <c r="K23" s="242"/>
      <c r="L23" s="243"/>
      <c r="M23" s="243"/>
      <c r="N23" s="243"/>
      <c r="O23" s="243"/>
      <c r="P23" s="243"/>
      <c r="Q23" s="244"/>
      <c r="R23" s="242"/>
      <c r="S23" s="243"/>
      <c r="T23" s="243"/>
      <c r="U23" s="243"/>
      <c r="V23" s="243"/>
      <c r="W23" s="243"/>
      <c r="X23" s="244"/>
      <c r="Y23" s="260" t="s">
        <v>10</v>
      </c>
      <c r="Z23" s="261"/>
      <c r="AA23" s="261"/>
      <c r="AB23" s="261"/>
      <c r="AC23" s="261"/>
      <c r="AD23" s="261"/>
      <c r="AE23" s="262"/>
      <c r="AF23" s="260" t="s">
        <v>11</v>
      </c>
      <c r="AG23" s="261"/>
      <c r="AH23" s="261"/>
      <c r="AI23" s="261"/>
      <c r="AJ23" s="261"/>
      <c r="AK23" s="261"/>
      <c r="AL23" s="262"/>
      <c r="AM23" s="260" t="s">
        <v>12</v>
      </c>
      <c r="AN23" s="261"/>
      <c r="AO23" s="261"/>
      <c r="AP23" s="261"/>
      <c r="AQ23" s="261"/>
      <c r="AR23" s="261"/>
      <c r="AS23" s="262"/>
      <c r="AT23" s="260" t="s">
        <v>13</v>
      </c>
      <c r="AU23" s="261"/>
      <c r="AV23" s="261"/>
      <c r="AW23" s="261"/>
      <c r="AX23" s="261"/>
      <c r="AY23" s="261"/>
      <c r="AZ23" s="262"/>
      <c r="BA23" s="19"/>
      <c r="BB23" s="258"/>
      <c r="BC23" s="259"/>
      <c r="BD23" s="259"/>
      <c r="BE23" s="259"/>
      <c r="BF23" s="259"/>
      <c r="BG23" s="259"/>
      <c r="BH23" s="259"/>
      <c r="BI23" s="227"/>
      <c r="BJ23" s="228"/>
      <c r="BK23" s="16"/>
      <c r="BR23" s="18"/>
    </row>
    <row r="24" spans="3:83" ht="15.6" customHeight="1" x14ac:dyDescent="0.4">
      <c r="C24" s="14"/>
      <c r="D24" s="121" t="str">
        <f>IF([9]回答表!R41="○","○","")</f>
        <v/>
      </c>
      <c r="E24" s="122"/>
      <c r="F24" s="122"/>
      <c r="G24" s="122"/>
      <c r="H24" s="122"/>
      <c r="I24" s="122"/>
      <c r="J24" s="123"/>
      <c r="K24" s="121" t="str">
        <f>IF([9]回答表!R42="○","○","")</f>
        <v/>
      </c>
      <c r="L24" s="122"/>
      <c r="M24" s="122"/>
      <c r="N24" s="122"/>
      <c r="O24" s="122"/>
      <c r="P24" s="122"/>
      <c r="Q24" s="123"/>
      <c r="R24" s="121" t="str">
        <f>IF([9]回答表!R43="○","○","")</f>
        <v/>
      </c>
      <c r="S24" s="122"/>
      <c r="T24" s="122"/>
      <c r="U24" s="122"/>
      <c r="V24" s="122"/>
      <c r="W24" s="122"/>
      <c r="X24" s="123"/>
      <c r="Y24" s="121" t="str">
        <f>IF([9]回答表!R44="○","○","")</f>
        <v/>
      </c>
      <c r="Z24" s="122"/>
      <c r="AA24" s="122"/>
      <c r="AB24" s="122"/>
      <c r="AC24" s="122"/>
      <c r="AD24" s="122"/>
      <c r="AE24" s="123"/>
      <c r="AF24" s="121" t="str">
        <f>IF([9]回答表!R45="○","○","")</f>
        <v/>
      </c>
      <c r="AG24" s="122"/>
      <c r="AH24" s="122"/>
      <c r="AI24" s="122"/>
      <c r="AJ24" s="122"/>
      <c r="AK24" s="122"/>
      <c r="AL24" s="123"/>
      <c r="AM24" s="121" t="str">
        <f>IF([9]回答表!R46="○","○","")</f>
        <v/>
      </c>
      <c r="AN24" s="122"/>
      <c r="AO24" s="122"/>
      <c r="AP24" s="122"/>
      <c r="AQ24" s="122"/>
      <c r="AR24" s="122"/>
      <c r="AS24" s="123"/>
      <c r="AT24" s="121" t="str">
        <f>IF([9]回答表!R47="○","○","")</f>
        <v/>
      </c>
      <c r="AU24" s="122"/>
      <c r="AV24" s="122"/>
      <c r="AW24" s="122"/>
      <c r="AX24" s="122"/>
      <c r="AY24" s="122"/>
      <c r="AZ24" s="123"/>
      <c r="BA24" s="19"/>
      <c r="BB24" s="118" t="str">
        <f>IF([9]回答表!R48="○","○","")</f>
        <v>○</v>
      </c>
      <c r="BC24" s="119"/>
      <c r="BD24" s="119"/>
      <c r="BE24" s="119"/>
      <c r="BF24" s="119"/>
      <c r="BG24" s="119"/>
      <c r="BH24" s="119"/>
      <c r="BI24" s="223"/>
      <c r="BJ24" s="224"/>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25"/>
      <c r="BJ25" s="226"/>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27"/>
      <c r="BJ26" s="228"/>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IF([9]回答表!X41="○","○","")</f>
        <v/>
      </c>
      <c r="O36" s="98"/>
      <c r="P36" s="98"/>
      <c r="Q36" s="99"/>
      <c r="R36" s="39"/>
      <c r="S36" s="39"/>
      <c r="T36" s="39"/>
      <c r="U36" s="106" t="str">
        <f>IF([9]回答表!X41="○",[9]回答表!B56,IF([9]回答表!AA41="○",[9]回答表!B76,""))</f>
        <v/>
      </c>
      <c r="V36" s="107"/>
      <c r="W36" s="107"/>
      <c r="X36" s="107"/>
      <c r="Y36" s="107"/>
      <c r="Z36" s="107"/>
      <c r="AA36" s="107"/>
      <c r="AB36" s="107"/>
      <c r="AC36" s="107"/>
      <c r="AD36" s="107"/>
      <c r="AE36" s="107"/>
      <c r="AF36" s="107"/>
      <c r="AG36" s="107"/>
      <c r="AH36" s="107"/>
      <c r="AI36" s="107"/>
      <c r="AJ36" s="108"/>
      <c r="AK36" s="50"/>
      <c r="AL36" s="50"/>
      <c r="AM36" s="229" t="s">
        <v>19</v>
      </c>
      <c r="AN36" s="229"/>
      <c r="AO36" s="229"/>
      <c r="AP36" s="229"/>
      <c r="AQ36" s="229"/>
      <c r="AR36" s="229"/>
      <c r="AS36" s="229"/>
      <c r="AT36" s="229"/>
      <c r="AU36" s="229" t="s">
        <v>20</v>
      </c>
      <c r="AV36" s="229"/>
      <c r="AW36" s="229"/>
      <c r="AX36" s="229"/>
      <c r="AY36" s="229"/>
      <c r="AZ36" s="229"/>
      <c r="BA36" s="229"/>
      <c r="BB36" s="229"/>
      <c r="BC36" s="40"/>
      <c r="BD36" s="35"/>
      <c r="BE36" s="115" t="str">
        <f>IF([9]回答表!X41="○",[9]回答表!S62,IF([9]回答表!AA41="○",[9]回答表!S82,""))</f>
        <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29"/>
      <c r="AN37" s="229"/>
      <c r="AO37" s="229"/>
      <c r="AP37" s="229"/>
      <c r="AQ37" s="229"/>
      <c r="AR37" s="229"/>
      <c r="AS37" s="229"/>
      <c r="AT37" s="229"/>
      <c r="AU37" s="229"/>
      <c r="AV37" s="229"/>
      <c r="AW37" s="229"/>
      <c r="AX37" s="229"/>
      <c r="AY37" s="229"/>
      <c r="AZ37" s="229"/>
      <c r="BA37" s="229"/>
      <c r="BB37" s="229"/>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IF([9]回答表!X41="○",[9]回答表!G62,IF([9]回答表!AA41="○",[9]回答表!G82,""))</f>
        <v/>
      </c>
      <c r="AN38" s="119"/>
      <c r="AO38" s="119"/>
      <c r="AP38" s="119"/>
      <c r="AQ38" s="119"/>
      <c r="AR38" s="119"/>
      <c r="AS38" s="119"/>
      <c r="AT38" s="120"/>
      <c r="AU38" s="118" t="str">
        <f>IF([9]回答表!X41="○",[9]回答表!G63,IF([9]回答表!AA41="○",[9]回答表!G83,""))</f>
        <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t="str">
        <f>IF([9]回答表!X41="○",[9]回答表!V62,IF([9]回答表!AA41="○",[9]回答表!V82,""))</f>
        <v/>
      </c>
      <c r="BF39" s="217"/>
      <c r="BG39" s="217"/>
      <c r="BH39" s="218"/>
      <c r="BI39" s="82" t="str">
        <f>IF([9]回答表!X41="○",[9]回答表!V63,IF([9]回答表!AA41="○",[9]回答表!V83,""))</f>
        <v/>
      </c>
      <c r="BJ39" s="217"/>
      <c r="BK39" s="217"/>
      <c r="BL39" s="218"/>
      <c r="BM39" s="82" t="str">
        <f>IF([9]回答表!X41="○",[9]回答表!V64,IF([9]回答表!AA41="○",[9]回答表!V84,""))</f>
        <v/>
      </c>
      <c r="BN39" s="217"/>
      <c r="BO39" s="217"/>
      <c r="BP39" s="218"/>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19"/>
      <c r="BF40" s="217"/>
      <c r="BG40" s="217"/>
      <c r="BH40" s="218"/>
      <c r="BI40" s="219"/>
      <c r="BJ40" s="217"/>
      <c r="BK40" s="217"/>
      <c r="BL40" s="218"/>
      <c r="BM40" s="219"/>
      <c r="BN40" s="217"/>
      <c r="BO40" s="217"/>
      <c r="BP40" s="218"/>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19"/>
      <c r="BF41" s="217"/>
      <c r="BG41" s="217"/>
      <c r="BH41" s="218"/>
      <c r="BI41" s="219"/>
      <c r="BJ41" s="217"/>
      <c r="BK41" s="217"/>
      <c r="BL41" s="218"/>
      <c r="BM41" s="219"/>
      <c r="BN41" s="217"/>
      <c r="BO41" s="217"/>
      <c r="BP41" s="218"/>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215" t="str">
        <f>IF([9]回答表!X41="○",[9]回答表!O68,IF([9]回答表!AA41="○",[9]回答表!O88,""))</f>
        <v/>
      </c>
      <c r="AN42" s="216"/>
      <c r="AO42" s="213" t="s">
        <v>21</v>
      </c>
      <c r="AP42" s="213"/>
      <c r="AQ42" s="213"/>
      <c r="AR42" s="213"/>
      <c r="AS42" s="213"/>
      <c r="AT42" s="213"/>
      <c r="AU42" s="213"/>
      <c r="AV42" s="213"/>
      <c r="AW42" s="213"/>
      <c r="AX42" s="213"/>
      <c r="AY42" s="213"/>
      <c r="AZ42" s="213"/>
      <c r="BA42" s="213"/>
      <c r="BB42" s="214"/>
      <c r="BC42" s="40"/>
      <c r="BD42" s="40"/>
      <c r="BE42" s="219"/>
      <c r="BF42" s="217"/>
      <c r="BG42" s="217"/>
      <c r="BH42" s="218"/>
      <c r="BI42" s="219"/>
      <c r="BJ42" s="217"/>
      <c r="BK42" s="217"/>
      <c r="BL42" s="218"/>
      <c r="BM42" s="219"/>
      <c r="BN42" s="217"/>
      <c r="BO42" s="217"/>
      <c r="BP42" s="218"/>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215" t="str">
        <f>IF([9]回答表!X41="○",[9]回答表!O69,IF([9]回答表!AA41="○",[9]回答表!O89,""))</f>
        <v/>
      </c>
      <c r="AN43" s="216"/>
      <c r="AO43" s="213" t="s">
        <v>22</v>
      </c>
      <c r="AP43" s="213"/>
      <c r="AQ43" s="213"/>
      <c r="AR43" s="213"/>
      <c r="AS43" s="213"/>
      <c r="AT43" s="213"/>
      <c r="AU43" s="213"/>
      <c r="AV43" s="213"/>
      <c r="AW43" s="213"/>
      <c r="AX43" s="213"/>
      <c r="AY43" s="213"/>
      <c r="AZ43" s="213"/>
      <c r="BA43" s="213"/>
      <c r="BB43" s="214"/>
      <c r="BC43" s="40"/>
      <c r="BD43" s="35"/>
      <c r="BE43" s="82" t="s">
        <v>23</v>
      </c>
      <c r="BF43" s="217"/>
      <c r="BG43" s="217"/>
      <c r="BH43" s="218"/>
      <c r="BI43" s="82" t="s">
        <v>24</v>
      </c>
      <c r="BJ43" s="217"/>
      <c r="BK43" s="217"/>
      <c r="BL43" s="218"/>
      <c r="BM43" s="82" t="s">
        <v>25</v>
      </c>
      <c r="BN43" s="217"/>
      <c r="BO43" s="217"/>
      <c r="BP43" s="218"/>
      <c r="BQ43" s="38"/>
      <c r="BR43" s="25"/>
    </row>
    <row r="44" spans="1:70" ht="15.6" customHeight="1" x14ac:dyDescent="0.4">
      <c r="A44" s="25"/>
      <c r="B44" s="25"/>
      <c r="C44" s="33"/>
      <c r="D44" s="140" t="s">
        <v>26</v>
      </c>
      <c r="E44" s="141"/>
      <c r="F44" s="141"/>
      <c r="G44" s="141"/>
      <c r="H44" s="141"/>
      <c r="I44" s="141"/>
      <c r="J44" s="141"/>
      <c r="K44" s="141"/>
      <c r="L44" s="141"/>
      <c r="M44" s="142"/>
      <c r="N44" s="97" t="str">
        <f>IF([9]回答表!AA41="○","○","")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215" t="str">
        <f>IF([9]回答表!X41="○",[9]回答表!O70,IF([9]回答表!AA41="○",[9]回答表!O90,""))</f>
        <v/>
      </c>
      <c r="AN44" s="216"/>
      <c r="AO44" s="213" t="s">
        <v>27</v>
      </c>
      <c r="AP44" s="213"/>
      <c r="AQ44" s="213"/>
      <c r="AR44" s="213"/>
      <c r="AS44" s="213"/>
      <c r="AT44" s="213"/>
      <c r="AU44" s="213"/>
      <c r="AV44" s="213"/>
      <c r="AW44" s="213"/>
      <c r="AX44" s="213"/>
      <c r="AY44" s="213"/>
      <c r="AZ44" s="213"/>
      <c r="BA44" s="213"/>
      <c r="BB44" s="214"/>
      <c r="BC44" s="40"/>
      <c r="BD44" s="54"/>
      <c r="BE44" s="219"/>
      <c r="BF44" s="217"/>
      <c r="BG44" s="217"/>
      <c r="BH44" s="218"/>
      <c r="BI44" s="219"/>
      <c r="BJ44" s="217"/>
      <c r="BK44" s="217"/>
      <c r="BL44" s="218"/>
      <c r="BM44" s="219"/>
      <c r="BN44" s="217"/>
      <c r="BO44" s="217"/>
      <c r="BP44" s="218"/>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215" t="str">
        <f>IF([9]回答表!X41="○",[9]回答表!O71,IF([9]回答表!AA41="○",[9]回答表!O91,""))</f>
        <v/>
      </c>
      <c r="AN45" s="216"/>
      <c r="AO45" s="213" t="s">
        <v>28</v>
      </c>
      <c r="AP45" s="213"/>
      <c r="AQ45" s="213"/>
      <c r="AR45" s="213"/>
      <c r="AS45" s="213"/>
      <c r="AT45" s="213"/>
      <c r="AU45" s="213"/>
      <c r="AV45" s="213"/>
      <c r="AW45" s="213"/>
      <c r="AX45" s="213"/>
      <c r="AY45" s="213"/>
      <c r="AZ45" s="213"/>
      <c r="BA45" s="213"/>
      <c r="BB45" s="214"/>
      <c r="BC45" s="40"/>
      <c r="BD45" s="54"/>
      <c r="BE45" s="220"/>
      <c r="BF45" s="221"/>
      <c r="BG45" s="221"/>
      <c r="BH45" s="222"/>
      <c r="BI45" s="220"/>
      <c r="BJ45" s="221"/>
      <c r="BK45" s="221"/>
      <c r="BL45" s="222"/>
      <c r="BM45" s="220"/>
      <c r="BN45" s="221"/>
      <c r="BO45" s="221"/>
      <c r="BP45" s="222"/>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215" t="str">
        <f>IF([9]回答表!X41="○",[9]回答表!AG68,IF([9]回答表!AA41="○",[9]回答表!AG88,""))</f>
        <v/>
      </c>
      <c r="AN46" s="216"/>
      <c r="AO46" s="213" t="s">
        <v>29</v>
      </c>
      <c r="AP46" s="213"/>
      <c r="AQ46" s="213"/>
      <c r="AR46" s="213"/>
      <c r="AS46" s="213"/>
      <c r="AT46" s="213"/>
      <c r="AU46" s="213"/>
      <c r="AV46" s="213"/>
      <c r="AW46" s="213"/>
      <c r="AX46" s="213"/>
      <c r="AY46" s="213"/>
      <c r="AZ46" s="213"/>
      <c r="BA46" s="213"/>
      <c r="BB46" s="214"/>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215" t="str">
        <f>IF([9]回答表!X41="○",[9]回答表!AG69,IF([9]回答表!AA41="○",[9]回答表!AG89,""))</f>
        <v/>
      </c>
      <c r="AN47" s="216"/>
      <c r="AO47" s="213" t="s">
        <v>30</v>
      </c>
      <c r="AP47" s="213"/>
      <c r="AQ47" s="213"/>
      <c r="AR47" s="213"/>
      <c r="AS47" s="213"/>
      <c r="AT47" s="213"/>
      <c r="AU47" s="213"/>
      <c r="AV47" s="213"/>
      <c r="AW47" s="213"/>
      <c r="AX47" s="213"/>
      <c r="AY47" s="213"/>
      <c r="AZ47" s="213"/>
      <c r="BA47" s="213"/>
      <c r="BB47" s="214"/>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215" t="str">
        <f>IF([9]回答表!X41="○",[9]回答表!AG70,IF([9]回答表!AA41="○",[9]回答表!AG90,""))</f>
        <v/>
      </c>
      <c r="AN48" s="216"/>
      <c r="AO48" s="213" t="s">
        <v>31</v>
      </c>
      <c r="AP48" s="213"/>
      <c r="AQ48" s="213"/>
      <c r="AR48" s="213"/>
      <c r="AS48" s="213"/>
      <c r="AT48" s="213"/>
      <c r="AU48" s="213"/>
      <c r="AV48" s="213"/>
      <c r="AW48" s="213"/>
      <c r="AX48" s="213"/>
      <c r="AY48" s="213"/>
      <c r="AZ48" s="213"/>
      <c r="BA48" s="213"/>
      <c r="BB48" s="214"/>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IF([9]回答表!AD41="○","○","")</f>
        <v/>
      </c>
      <c r="O52" s="98"/>
      <c r="P52" s="98"/>
      <c r="Q52" s="99"/>
      <c r="R52" s="39"/>
      <c r="S52" s="39"/>
      <c r="T52" s="39"/>
      <c r="U52" s="106" t="str">
        <f>IF([9]回答表!AD41="○",[9]回答表!B96,"")</f>
        <v/>
      </c>
      <c r="V52" s="107"/>
      <c r="W52" s="107"/>
      <c r="X52" s="107"/>
      <c r="Y52" s="107"/>
      <c r="Z52" s="107"/>
      <c r="AA52" s="107"/>
      <c r="AB52" s="107"/>
      <c r="AC52" s="107"/>
      <c r="AD52" s="107"/>
      <c r="AE52" s="107"/>
      <c r="AF52" s="107"/>
      <c r="AG52" s="107"/>
      <c r="AH52" s="107"/>
      <c r="AI52" s="107"/>
      <c r="AJ52" s="108"/>
      <c r="AK52" s="56"/>
      <c r="AL52" s="56"/>
      <c r="AM52" s="106" t="str">
        <f>IF([9]回答表!AD41="○",[9]回答表!B101,"")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IF([9]回答表!X42="○","○","")</f>
        <v/>
      </c>
      <c r="O63" s="98"/>
      <c r="P63" s="98"/>
      <c r="Q63" s="99"/>
      <c r="R63" s="39"/>
      <c r="S63" s="39"/>
      <c r="T63" s="39"/>
      <c r="U63" s="106" t="str">
        <f>IF([9]回答表!X42="○",[9]回答表!B111,IF([9]回答表!AA42="○",[9]回答表!B124,""))</f>
        <v/>
      </c>
      <c r="V63" s="107"/>
      <c r="W63" s="107"/>
      <c r="X63" s="107"/>
      <c r="Y63" s="107"/>
      <c r="Z63" s="107"/>
      <c r="AA63" s="107"/>
      <c r="AB63" s="107"/>
      <c r="AC63" s="107"/>
      <c r="AD63" s="107"/>
      <c r="AE63" s="107"/>
      <c r="AF63" s="107"/>
      <c r="AG63" s="107"/>
      <c r="AH63" s="107"/>
      <c r="AI63" s="107"/>
      <c r="AJ63" s="108"/>
      <c r="AK63" s="50"/>
      <c r="AL63" s="50"/>
      <c r="AM63" s="212" t="s">
        <v>37</v>
      </c>
      <c r="AN63" s="212"/>
      <c r="AO63" s="212"/>
      <c r="AP63" s="212"/>
      <c r="AQ63" s="212"/>
      <c r="AR63" s="212"/>
      <c r="AS63" s="212"/>
      <c r="AT63" s="212"/>
      <c r="AU63" s="212" t="s">
        <v>38</v>
      </c>
      <c r="AV63" s="212"/>
      <c r="AW63" s="212"/>
      <c r="AX63" s="212"/>
      <c r="AY63" s="212"/>
      <c r="AZ63" s="212"/>
      <c r="BA63" s="212"/>
      <c r="BB63" s="212"/>
      <c r="BC63" s="40"/>
      <c r="BD63" s="35"/>
      <c r="BE63" s="115" t="str">
        <f>IF([9]回答表!X42="○",[9]回答表!S117,IF([9]回答表!AA42="○",[9]回答表!S130,""))</f>
        <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212"/>
      <c r="AN64" s="212"/>
      <c r="AO64" s="212"/>
      <c r="AP64" s="212"/>
      <c r="AQ64" s="212"/>
      <c r="AR64" s="212"/>
      <c r="AS64" s="212"/>
      <c r="AT64" s="212"/>
      <c r="AU64" s="212"/>
      <c r="AV64" s="212"/>
      <c r="AW64" s="212"/>
      <c r="AX64" s="212"/>
      <c r="AY64" s="212"/>
      <c r="AZ64" s="212"/>
      <c r="BA64" s="212"/>
      <c r="BB64" s="212"/>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212"/>
      <c r="AN65" s="212"/>
      <c r="AO65" s="212"/>
      <c r="AP65" s="212"/>
      <c r="AQ65" s="212"/>
      <c r="AR65" s="212"/>
      <c r="AS65" s="212"/>
      <c r="AT65" s="212"/>
      <c r="AU65" s="212"/>
      <c r="AV65" s="212"/>
      <c r="AW65" s="212"/>
      <c r="AX65" s="212"/>
      <c r="AY65" s="212"/>
      <c r="AZ65" s="212"/>
      <c r="BA65" s="212"/>
      <c r="BB65" s="212"/>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IF([9]回答表!X42="○",[9]回答表!J117,IF([9]回答表!AA42="○",[9]回答表!J130,""))</f>
        <v/>
      </c>
      <c r="AN66" s="119"/>
      <c r="AO66" s="119"/>
      <c r="AP66" s="119"/>
      <c r="AQ66" s="119"/>
      <c r="AR66" s="119"/>
      <c r="AS66" s="119"/>
      <c r="AT66" s="120"/>
      <c r="AU66" s="118" t="str">
        <f>IF([9]回答表!X42="○",[9]回答表!J118,IF([9]回答表!AA42="○",[9]回答表!J131,""))</f>
        <v/>
      </c>
      <c r="AV66" s="119"/>
      <c r="AW66" s="119"/>
      <c r="AX66" s="119"/>
      <c r="AY66" s="119"/>
      <c r="AZ66" s="119"/>
      <c r="BA66" s="119"/>
      <c r="BB66" s="120"/>
      <c r="BC66" s="40"/>
      <c r="BD66" s="35"/>
      <c r="BE66" s="82" t="str">
        <f>IF([9]回答表!X42="○",[9]回答表!V117,IF([9]回答表!AA42="○",[9]回答表!V130,""))</f>
        <v/>
      </c>
      <c r="BF66" s="83"/>
      <c r="BG66" s="83"/>
      <c r="BH66" s="83"/>
      <c r="BI66" s="82" t="str">
        <f>IF([9]回答表!X42="○",[9]回答表!V118,IF([9]回答表!AA42="○",[9]回答表!V131,""))</f>
        <v/>
      </c>
      <c r="BJ66" s="83"/>
      <c r="BK66" s="83"/>
      <c r="BL66" s="83"/>
      <c r="BM66" s="82" t="str">
        <f>IF([9]回答表!X42="○",[9]回答表!V119,IF([9]回答表!AA42="○",[9]回答表!V132,""))</f>
        <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IF([9]回答表!AA42="○","○","")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IF([9]回答表!AD42="○","○","")</f>
        <v/>
      </c>
      <c r="O75" s="98"/>
      <c r="P75" s="98"/>
      <c r="Q75" s="99"/>
      <c r="R75" s="39"/>
      <c r="S75" s="39"/>
      <c r="T75" s="39"/>
      <c r="U75" s="106" t="str">
        <f>IF([9]回答表!AD42="○",[9]回答表!B137,"")</f>
        <v/>
      </c>
      <c r="V75" s="107"/>
      <c r="W75" s="107"/>
      <c r="X75" s="107"/>
      <c r="Y75" s="107"/>
      <c r="Z75" s="107"/>
      <c r="AA75" s="107"/>
      <c r="AB75" s="107"/>
      <c r="AC75" s="107"/>
      <c r="AD75" s="107"/>
      <c r="AE75" s="107"/>
      <c r="AF75" s="107"/>
      <c r="AG75" s="107"/>
      <c r="AH75" s="107"/>
      <c r="AI75" s="107"/>
      <c r="AJ75" s="108"/>
      <c r="AK75" s="56"/>
      <c r="AL75" s="56"/>
      <c r="AM75" s="106" t="str">
        <f>IF([9]回答表!AD42="○",[9]回答表!B143,"")</f>
        <v/>
      </c>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8"/>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109"/>
      <c r="V76" s="110"/>
      <c r="W76" s="110"/>
      <c r="X76" s="110"/>
      <c r="Y76" s="110"/>
      <c r="Z76" s="110"/>
      <c r="AA76" s="110"/>
      <c r="AB76" s="110"/>
      <c r="AC76" s="110"/>
      <c r="AD76" s="110"/>
      <c r="AE76" s="110"/>
      <c r="AF76" s="110"/>
      <c r="AG76" s="110"/>
      <c r="AH76" s="110"/>
      <c r="AI76" s="110"/>
      <c r="AJ76" s="111"/>
      <c r="AK76" s="56"/>
      <c r="AL76" s="56"/>
      <c r="AM76" s="109"/>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1"/>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109"/>
      <c r="V77" s="110"/>
      <c r="W77" s="110"/>
      <c r="X77" s="110"/>
      <c r="Y77" s="110"/>
      <c r="Z77" s="110"/>
      <c r="AA77" s="110"/>
      <c r="AB77" s="110"/>
      <c r="AC77" s="110"/>
      <c r="AD77" s="110"/>
      <c r="AE77" s="110"/>
      <c r="AF77" s="110"/>
      <c r="AG77" s="110"/>
      <c r="AH77" s="110"/>
      <c r="AI77" s="110"/>
      <c r="AJ77" s="111"/>
      <c r="AK77" s="56"/>
      <c r="AL77" s="56"/>
      <c r="AM77" s="109"/>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1"/>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112"/>
      <c r="V78" s="113"/>
      <c r="W78" s="113"/>
      <c r="X78" s="113"/>
      <c r="Y78" s="113"/>
      <c r="Z78" s="113"/>
      <c r="AA78" s="113"/>
      <c r="AB78" s="113"/>
      <c r="AC78" s="113"/>
      <c r="AD78" s="113"/>
      <c r="AE78" s="113"/>
      <c r="AF78" s="113"/>
      <c r="AG78" s="113"/>
      <c r="AH78" s="113"/>
      <c r="AI78" s="113"/>
      <c r="AJ78" s="114"/>
      <c r="AK78" s="56"/>
      <c r="AL78" s="56"/>
      <c r="AM78" s="112"/>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4"/>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62"/>
      <c r="AS81" s="162"/>
      <c r="AT81" s="162"/>
      <c r="AU81" s="162"/>
      <c r="AV81" s="162"/>
      <c r="AW81" s="162"/>
      <c r="AX81" s="162"/>
      <c r="AY81" s="162"/>
      <c r="AZ81" s="162"/>
      <c r="BA81" s="162"/>
      <c r="BB81" s="162"/>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87"/>
      <c r="AS82" s="187"/>
      <c r="AT82" s="187"/>
      <c r="AU82" s="187"/>
      <c r="AV82" s="187"/>
      <c r="AW82" s="187"/>
      <c r="AX82" s="187"/>
      <c r="AY82" s="187"/>
      <c r="AZ82" s="187"/>
      <c r="BA82" s="187"/>
      <c r="BB82" s="187"/>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81" t="s">
        <v>18</v>
      </c>
      <c r="E87" s="181"/>
      <c r="F87" s="181"/>
      <c r="G87" s="181"/>
      <c r="H87" s="181"/>
      <c r="I87" s="181"/>
      <c r="J87" s="181"/>
      <c r="K87" s="181"/>
      <c r="L87" s="181"/>
      <c r="M87" s="181"/>
      <c r="N87" s="97" t="str">
        <f>IF([9]回答表!F17="水道事業",IF([9]回答表!X43="○","○",""),"")</f>
        <v/>
      </c>
      <c r="O87" s="98"/>
      <c r="P87" s="98"/>
      <c r="Q87" s="99"/>
      <c r="R87" s="39"/>
      <c r="S87" s="39"/>
      <c r="T87" s="39"/>
      <c r="U87" s="188" t="s">
        <v>41</v>
      </c>
      <c r="V87" s="189"/>
      <c r="W87" s="189"/>
      <c r="X87" s="189"/>
      <c r="Y87" s="189"/>
      <c r="Z87" s="189"/>
      <c r="AA87" s="189"/>
      <c r="AB87" s="189"/>
      <c r="AC87" s="188" t="s">
        <v>42</v>
      </c>
      <c r="AD87" s="189"/>
      <c r="AE87" s="189"/>
      <c r="AF87" s="189"/>
      <c r="AG87" s="189"/>
      <c r="AH87" s="189"/>
      <c r="AI87" s="189"/>
      <c r="AJ87" s="198"/>
      <c r="AK87" s="50"/>
      <c r="AL87" s="50"/>
      <c r="AM87" s="106" t="str">
        <f>IF([9]回答表!F17="水道事業",IF([9]回答表!X43="○",[9]回答表!B154,IF([9]回答表!AA43="○",[9]回答表!B201,"")),"")</f>
        <v/>
      </c>
      <c r="AN87" s="107"/>
      <c r="AO87" s="107"/>
      <c r="AP87" s="107"/>
      <c r="AQ87" s="107"/>
      <c r="AR87" s="107"/>
      <c r="AS87" s="107"/>
      <c r="AT87" s="107"/>
      <c r="AU87" s="107"/>
      <c r="AV87" s="107"/>
      <c r="AW87" s="107"/>
      <c r="AX87" s="107"/>
      <c r="AY87" s="107"/>
      <c r="AZ87" s="107"/>
      <c r="BA87" s="107"/>
      <c r="BB87" s="108"/>
      <c r="BC87" s="40"/>
      <c r="BD87" s="35"/>
      <c r="BE87" s="115" t="str">
        <f>IF([9]回答表!F17="水道事業",IF([9]回答表!X43="○",[9]回答表!B190,IF([9]回答表!AA43="○",[9]回答表!B238,"")),"")</f>
        <v/>
      </c>
      <c r="BF87" s="116"/>
      <c r="BG87" s="116"/>
      <c r="BH87" s="116"/>
      <c r="BI87" s="115"/>
      <c r="BJ87" s="116"/>
      <c r="BK87" s="116"/>
      <c r="BL87" s="116"/>
      <c r="BM87" s="115"/>
      <c r="BN87" s="116"/>
      <c r="BO87" s="116"/>
      <c r="BP87" s="117"/>
      <c r="BQ87" s="38"/>
    </row>
    <row r="88" spans="3:69" ht="19.350000000000001" customHeight="1" x14ac:dyDescent="0.4">
      <c r="C88" s="33"/>
      <c r="D88" s="181"/>
      <c r="E88" s="181"/>
      <c r="F88" s="181"/>
      <c r="G88" s="181"/>
      <c r="H88" s="181"/>
      <c r="I88" s="181"/>
      <c r="J88" s="181"/>
      <c r="K88" s="181"/>
      <c r="L88" s="181"/>
      <c r="M88" s="181"/>
      <c r="N88" s="100"/>
      <c r="O88" s="101"/>
      <c r="P88" s="101"/>
      <c r="Q88" s="102"/>
      <c r="R88" s="39"/>
      <c r="S88" s="39"/>
      <c r="T88" s="39"/>
      <c r="U88" s="190"/>
      <c r="V88" s="191"/>
      <c r="W88" s="191"/>
      <c r="X88" s="191"/>
      <c r="Y88" s="191"/>
      <c r="Z88" s="191"/>
      <c r="AA88" s="191"/>
      <c r="AB88" s="191"/>
      <c r="AC88" s="190"/>
      <c r="AD88" s="191"/>
      <c r="AE88" s="191"/>
      <c r="AF88" s="191"/>
      <c r="AG88" s="191"/>
      <c r="AH88" s="191"/>
      <c r="AI88" s="191"/>
      <c r="AJ88" s="199"/>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81"/>
      <c r="E89" s="181"/>
      <c r="F89" s="181"/>
      <c r="G89" s="181"/>
      <c r="H89" s="181"/>
      <c r="I89" s="181"/>
      <c r="J89" s="181"/>
      <c r="K89" s="181"/>
      <c r="L89" s="181"/>
      <c r="M89" s="181"/>
      <c r="N89" s="100"/>
      <c r="O89" s="101"/>
      <c r="P89" s="101"/>
      <c r="Q89" s="102"/>
      <c r="R89" s="39"/>
      <c r="S89" s="39"/>
      <c r="T89" s="39"/>
      <c r="U89" s="118" t="str">
        <f>IF([9]回答表!F17="水道事業",IF([9]回答表!X43="○",[9]回答表!J162,IF([9]回答表!AA43="○",[9]回答表!J209,"")),"")</f>
        <v/>
      </c>
      <c r="V89" s="119"/>
      <c r="W89" s="119"/>
      <c r="X89" s="119"/>
      <c r="Y89" s="119"/>
      <c r="Z89" s="119"/>
      <c r="AA89" s="119"/>
      <c r="AB89" s="120"/>
      <c r="AC89" s="118" t="str">
        <f>IF([9]回答表!F17="水道事業",IF([9]回答表!X43="○",[9]回答表!J169,IF([9]回答表!AA43="○",[9]回答表!J216,"")),"")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81"/>
      <c r="E90" s="181"/>
      <c r="F90" s="181"/>
      <c r="G90" s="181"/>
      <c r="H90" s="181"/>
      <c r="I90" s="181"/>
      <c r="J90" s="181"/>
      <c r="K90" s="181"/>
      <c r="L90" s="181"/>
      <c r="M90" s="181"/>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IF([9]回答表!F17="水道事業",IF([9]回答表!X43="○",[9]回答表!E190,IF([9]回答表!AA43="○",[9]回答表!E238,"")),"")</f>
        <v/>
      </c>
      <c r="BF90" s="83"/>
      <c r="BG90" s="83"/>
      <c r="BH90" s="83"/>
      <c r="BI90" s="82" t="str">
        <f>IF([9]回答表!F17="水道事業",IF([9]回答表!X43="○",[9]回答表!E191,IF([9]回答表!AA43="○",[9]回答表!E239,"")),"")</f>
        <v/>
      </c>
      <c r="BJ90" s="83"/>
      <c r="BK90" s="83"/>
      <c r="BL90" s="83"/>
      <c r="BM90" s="82" t="str">
        <f>IF([9]回答表!F17="水道事業",IF([9]回答表!X43="○",[9]回答表!E192,IF([9]回答表!AA43="○",[9]回答表!E240,"")),"")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88" t="s">
        <v>43</v>
      </c>
      <c r="V92" s="189"/>
      <c r="W92" s="189"/>
      <c r="X92" s="189"/>
      <c r="Y92" s="189"/>
      <c r="Z92" s="189"/>
      <c r="AA92" s="189"/>
      <c r="AB92" s="189"/>
      <c r="AC92" s="188" t="s">
        <v>44</v>
      </c>
      <c r="AD92" s="189"/>
      <c r="AE92" s="189"/>
      <c r="AF92" s="189"/>
      <c r="AG92" s="189"/>
      <c r="AH92" s="189"/>
      <c r="AI92" s="189"/>
      <c r="AJ92" s="198"/>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86" t="s">
        <v>26</v>
      </c>
      <c r="E93" s="181"/>
      <c r="F93" s="181"/>
      <c r="G93" s="181"/>
      <c r="H93" s="181"/>
      <c r="I93" s="181"/>
      <c r="J93" s="181"/>
      <c r="K93" s="181"/>
      <c r="L93" s="181"/>
      <c r="M93" s="182"/>
      <c r="N93" s="97" t="str">
        <f>IF([9]回答表!F17="水道事業",IF([9]回答表!AA43="○","○",""),"")</f>
        <v/>
      </c>
      <c r="O93" s="98"/>
      <c r="P93" s="98"/>
      <c r="Q93" s="99"/>
      <c r="R93" s="39"/>
      <c r="S93" s="39"/>
      <c r="T93" s="39"/>
      <c r="U93" s="190"/>
      <c r="V93" s="191"/>
      <c r="W93" s="191"/>
      <c r="X93" s="191"/>
      <c r="Y93" s="191"/>
      <c r="Z93" s="191"/>
      <c r="AA93" s="191"/>
      <c r="AB93" s="191"/>
      <c r="AC93" s="190"/>
      <c r="AD93" s="191"/>
      <c r="AE93" s="191"/>
      <c r="AF93" s="191"/>
      <c r="AG93" s="191"/>
      <c r="AH93" s="191"/>
      <c r="AI93" s="191"/>
      <c r="AJ93" s="199"/>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81"/>
      <c r="E94" s="181"/>
      <c r="F94" s="181"/>
      <c r="G94" s="181"/>
      <c r="H94" s="181"/>
      <c r="I94" s="181"/>
      <c r="J94" s="181"/>
      <c r="K94" s="181"/>
      <c r="L94" s="181"/>
      <c r="M94" s="182"/>
      <c r="N94" s="100"/>
      <c r="O94" s="101"/>
      <c r="P94" s="101"/>
      <c r="Q94" s="102"/>
      <c r="R94" s="39"/>
      <c r="S94" s="39"/>
      <c r="T94" s="39"/>
      <c r="U94" s="118" t="str">
        <f>IF([9]回答表!F17="水道事業",IF([9]回答表!X43="○",[9]回答表!J172,IF([9]回答表!AA43="○",[9]回答表!J219,"")),"")</f>
        <v/>
      </c>
      <c r="V94" s="119"/>
      <c r="W94" s="119"/>
      <c r="X94" s="119"/>
      <c r="Y94" s="119"/>
      <c r="Z94" s="119"/>
      <c r="AA94" s="119"/>
      <c r="AB94" s="120"/>
      <c r="AC94" s="118" t="str">
        <f>IF([9]回答表!F17="水道事業",IF([9]回答表!X43="○",[9]回答表!J176,IF([9]回答表!AA43="○",[9]回答表!J223,"")),"")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81"/>
      <c r="E95" s="181"/>
      <c r="F95" s="181"/>
      <c r="G95" s="181"/>
      <c r="H95" s="181"/>
      <c r="I95" s="181"/>
      <c r="J95" s="181"/>
      <c r="K95" s="181"/>
      <c r="L95" s="181"/>
      <c r="M95" s="182"/>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81"/>
      <c r="E96" s="181"/>
      <c r="F96" s="181"/>
      <c r="G96" s="181"/>
      <c r="H96" s="181"/>
      <c r="I96" s="181"/>
      <c r="J96" s="181"/>
      <c r="K96" s="181"/>
      <c r="L96" s="181"/>
      <c r="M96" s="182"/>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81" t="s">
        <v>34</v>
      </c>
      <c r="E99" s="181"/>
      <c r="F99" s="181"/>
      <c r="G99" s="181"/>
      <c r="H99" s="181"/>
      <c r="I99" s="181"/>
      <c r="J99" s="181"/>
      <c r="K99" s="181"/>
      <c r="L99" s="181"/>
      <c r="M99" s="182"/>
      <c r="N99" s="97" t="str">
        <f>IF([9]回答表!F17="水道事業",IF([9]回答表!AD43="○","○",""),"")</f>
        <v/>
      </c>
      <c r="O99" s="98"/>
      <c r="P99" s="98"/>
      <c r="Q99" s="99"/>
      <c r="R99" s="39"/>
      <c r="S99" s="39"/>
      <c r="T99" s="39"/>
      <c r="U99" s="106" t="str">
        <f>IF([9]回答表!F17="水道事業",IF([9]回答表!AD43="○",[9]回答表!B249,""),"")</f>
        <v/>
      </c>
      <c r="V99" s="107"/>
      <c r="W99" s="107"/>
      <c r="X99" s="107"/>
      <c r="Y99" s="107"/>
      <c r="Z99" s="107"/>
      <c r="AA99" s="107"/>
      <c r="AB99" s="107"/>
      <c r="AC99" s="107"/>
      <c r="AD99" s="107"/>
      <c r="AE99" s="107"/>
      <c r="AF99" s="107"/>
      <c r="AG99" s="107"/>
      <c r="AH99" s="107"/>
      <c r="AI99" s="107"/>
      <c r="AJ99" s="108"/>
      <c r="AK99" s="56"/>
      <c r="AL99" s="56"/>
      <c r="AM99" s="106" t="str">
        <f>IF([9]回答表!F17="水道事業",IF([9]回答表!AD43="○",[9]回答表!B255,""),"")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81"/>
      <c r="E100" s="181"/>
      <c r="F100" s="181"/>
      <c r="G100" s="181"/>
      <c r="H100" s="181"/>
      <c r="I100" s="181"/>
      <c r="J100" s="181"/>
      <c r="K100" s="181"/>
      <c r="L100" s="181"/>
      <c r="M100" s="182"/>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81"/>
      <c r="E101" s="181"/>
      <c r="F101" s="181"/>
      <c r="G101" s="181"/>
      <c r="H101" s="181"/>
      <c r="I101" s="181"/>
      <c r="J101" s="181"/>
      <c r="K101" s="181"/>
      <c r="L101" s="181"/>
      <c r="M101" s="182"/>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81"/>
      <c r="E102" s="181"/>
      <c r="F102" s="181"/>
      <c r="G102" s="181"/>
      <c r="H102" s="181"/>
      <c r="I102" s="181"/>
      <c r="J102" s="181"/>
      <c r="K102" s="181"/>
      <c r="L102" s="181"/>
      <c r="M102" s="182"/>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62"/>
      <c r="AS105" s="162"/>
      <c r="AT105" s="162"/>
      <c r="AU105" s="162"/>
      <c r="AV105" s="162"/>
      <c r="AW105" s="162"/>
      <c r="AX105" s="162"/>
      <c r="AY105" s="162"/>
      <c r="AZ105" s="162"/>
      <c r="BA105" s="162"/>
      <c r="BB105" s="162"/>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87"/>
      <c r="AS106" s="187"/>
      <c r="AT106" s="187"/>
      <c r="AU106" s="187"/>
      <c r="AV106" s="187"/>
      <c r="AW106" s="187"/>
      <c r="AX106" s="187"/>
      <c r="AY106" s="187"/>
      <c r="AZ106" s="187"/>
      <c r="BA106" s="187"/>
      <c r="BB106" s="187"/>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81" t="s">
        <v>18</v>
      </c>
      <c r="E111" s="181"/>
      <c r="F111" s="181"/>
      <c r="G111" s="181"/>
      <c r="H111" s="181"/>
      <c r="I111" s="181"/>
      <c r="J111" s="181"/>
      <c r="K111" s="181"/>
      <c r="L111" s="181"/>
      <c r="M111" s="181"/>
      <c r="N111" s="97" t="str">
        <f>IF([9]回答表!F17="簡易水道事業",IF([9]回答表!X43="○","○",""),"")</f>
        <v/>
      </c>
      <c r="O111" s="98"/>
      <c r="P111" s="98"/>
      <c r="Q111" s="99"/>
      <c r="R111" s="39"/>
      <c r="S111" s="39"/>
      <c r="T111" s="39"/>
      <c r="U111" s="188" t="s">
        <v>46</v>
      </c>
      <c r="V111" s="189"/>
      <c r="W111" s="189"/>
      <c r="X111" s="189"/>
      <c r="Y111" s="189"/>
      <c r="Z111" s="189"/>
      <c r="AA111" s="189"/>
      <c r="AB111" s="189"/>
      <c r="AC111" s="189"/>
      <c r="AD111" s="189"/>
      <c r="AE111" s="189"/>
      <c r="AF111" s="189"/>
      <c r="AG111" s="189"/>
      <c r="AH111" s="189"/>
      <c r="AI111" s="189"/>
      <c r="AJ111" s="198"/>
      <c r="AK111" s="50"/>
      <c r="AL111" s="50"/>
      <c r="AM111" s="106" t="str">
        <f>IF([9]回答表!F17="簡易水道事業",IF([9]回答表!X43="○",[9]回答表!B154,IF([9]回答表!AA43="○",[9]回答表!B201,"")),"")</f>
        <v/>
      </c>
      <c r="AN111" s="107"/>
      <c r="AO111" s="107"/>
      <c r="AP111" s="107"/>
      <c r="AQ111" s="107"/>
      <c r="AR111" s="107"/>
      <c r="AS111" s="107"/>
      <c r="AT111" s="107"/>
      <c r="AU111" s="107"/>
      <c r="AV111" s="107"/>
      <c r="AW111" s="107"/>
      <c r="AX111" s="107"/>
      <c r="AY111" s="107"/>
      <c r="AZ111" s="107"/>
      <c r="BA111" s="107"/>
      <c r="BB111" s="108"/>
      <c r="BC111" s="40"/>
      <c r="BD111" s="35"/>
      <c r="BE111" s="115" t="str">
        <f>IF([9]回答表!F17="簡易水道事業",IF([9]回答表!X43="○",[9]回答表!B190,IF([9]回答表!AA43="○",[9]回答表!B238,"")),"")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81"/>
      <c r="E112" s="181"/>
      <c r="F112" s="181"/>
      <c r="G112" s="181"/>
      <c r="H112" s="181"/>
      <c r="I112" s="181"/>
      <c r="J112" s="181"/>
      <c r="K112" s="181"/>
      <c r="L112" s="181"/>
      <c r="M112" s="181"/>
      <c r="N112" s="100"/>
      <c r="O112" s="101"/>
      <c r="P112" s="101"/>
      <c r="Q112" s="102"/>
      <c r="R112" s="39"/>
      <c r="S112" s="39"/>
      <c r="T112" s="39"/>
      <c r="U112" s="200"/>
      <c r="V112" s="201"/>
      <c r="W112" s="201"/>
      <c r="X112" s="201"/>
      <c r="Y112" s="201"/>
      <c r="Z112" s="201"/>
      <c r="AA112" s="201"/>
      <c r="AB112" s="201"/>
      <c r="AC112" s="201"/>
      <c r="AD112" s="201"/>
      <c r="AE112" s="201"/>
      <c r="AF112" s="201"/>
      <c r="AG112" s="201"/>
      <c r="AH112" s="201"/>
      <c r="AI112" s="201"/>
      <c r="AJ112" s="202"/>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81"/>
      <c r="E113" s="181"/>
      <c r="F113" s="181"/>
      <c r="G113" s="181"/>
      <c r="H113" s="181"/>
      <c r="I113" s="181"/>
      <c r="J113" s="181"/>
      <c r="K113" s="181"/>
      <c r="L113" s="181"/>
      <c r="M113" s="181"/>
      <c r="N113" s="100"/>
      <c r="O113" s="101"/>
      <c r="P113" s="101"/>
      <c r="Q113" s="102"/>
      <c r="R113" s="39"/>
      <c r="S113" s="39"/>
      <c r="T113" s="39"/>
      <c r="U113" s="118" t="str">
        <f>IF([9]回答表!F17="簡易水道事業",IF([9]回答表!X43="○",[9]回答表!Y181,IF([9]回答表!AA43="○",[9]回答表!Y229,"")),"")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81"/>
      <c r="E114" s="181"/>
      <c r="F114" s="181"/>
      <c r="G114" s="181"/>
      <c r="H114" s="181"/>
      <c r="I114" s="181"/>
      <c r="J114" s="181"/>
      <c r="K114" s="181"/>
      <c r="L114" s="181"/>
      <c r="M114" s="181"/>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IF([9]回答表!F17="簡易水道事業",IF([9]回答表!X43="○",[9]回答表!E190,IF([9]回答表!AA43="○",[9]回答表!E238,"")),"")</f>
        <v/>
      </c>
      <c r="BF114" s="83"/>
      <c r="BG114" s="83"/>
      <c r="BH114" s="83"/>
      <c r="BI114" s="82" t="str">
        <f>IF([9]回答表!F17="簡易水道事業",IF([9]回答表!X43="○",[9]回答表!E191,IF([9]回答表!AA43="○",[9]回答表!E239,"")),"")</f>
        <v/>
      </c>
      <c r="BJ114" s="83"/>
      <c r="BK114" s="83"/>
      <c r="BL114" s="83"/>
      <c r="BM114" s="82" t="str">
        <f>IF([9]回答表!F17="簡易水道事業",IF([9]回答表!X43="○",[9]回答表!E192,IF([9]回答表!AA43="○",[9]回答表!E240,"")),"")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88" t="s">
        <v>47</v>
      </c>
      <c r="V116" s="189"/>
      <c r="W116" s="189"/>
      <c r="X116" s="189"/>
      <c r="Y116" s="189"/>
      <c r="Z116" s="189"/>
      <c r="AA116" s="189"/>
      <c r="AB116" s="189"/>
      <c r="AC116" s="189"/>
      <c r="AD116" s="189"/>
      <c r="AE116" s="189"/>
      <c r="AF116" s="189"/>
      <c r="AG116" s="189"/>
      <c r="AH116" s="189"/>
      <c r="AI116" s="189"/>
      <c r="AJ116" s="198"/>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86" t="s">
        <v>26</v>
      </c>
      <c r="E117" s="181"/>
      <c r="F117" s="181"/>
      <c r="G117" s="181"/>
      <c r="H117" s="181"/>
      <c r="I117" s="181"/>
      <c r="J117" s="181"/>
      <c r="K117" s="181"/>
      <c r="L117" s="181"/>
      <c r="M117" s="182"/>
      <c r="N117" s="97" t="str">
        <f>IF([9]回答表!F17="簡易水道事業",IF([9]回答表!AA43="○","○",""),"")</f>
        <v/>
      </c>
      <c r="O117" s="98"/>
      <c r="P117" s="98"/>
      <c r="Q117" s="99"/>
      <c r="R117" s="39"/>
      <c r="S117" s="39"/>
      <c r="T117" s="39"/>
      <c r="U117" s="200"/>
      <c r="V117" s="201"/>
      <c r="W117" s="201"/>
      <c r="X117" s="201"/>
      <c r="Y117" s="201"/>
      <c r="Z117" s="201"/>
      <c r="AA117" s="201"/>
      <c r="AB117" s="201"/>
      <c r="AC117" s="201"/>
      <c r="AD117" s="201"/>
      <c r="AE117" s="201"/>
      <c r="AF117" s="201"/>
      <c r="AG117" s="201"/>
      <c r="AH117" s="201"/>
      <c r="AI117" s="201"/>
      <c r="AJ117" s="202"/>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81"/>
      <c r="E118" s="181"/>
      <c r="F118" s="181"/>
      <c r="G118" s="181"/>
      <c r="H118" s="181"/>
      <c r="I118" s="181"/>
      <c r="J118" s="181"/>
      <c r="K118" s="181"/>
      <c r="L118" s="181"/>
      <c r="M118" s="182"/>
      <c r="N118" s="100"/>
      <c r="O118" s="101"/>
      <c r="P118" s="101"/>
      <c r="Q118" s="102"/>
      <c r="R118" s="39"/>
      <c r="S118" s="39"/>
      <c r="T118" s="39"/>
      <c r="U118" s="118" t="str">
        <f>IF([9]回答表!F17="簡易水道事業",IF([9]回答表!X43="○",[9]回答表!Y182,IF([9]回答表!AA43="○",[9]回答表!Y230,"")),"")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81"/>
      <c r="E119" s="181"/>
      <c r="F119" s="181"/>
      <c r="G119" s="181"/>
      <c r="H119" s="181"/>
      <c r="I119" s="181"/>
      <c r="J119" s="181"/>
      <c r="K119" s="181"/>
      <c r="L119" s="181"/>
      <c r="M119" s="182"/>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81"/>
      <c r="E120" s="181"/>
      <c r="F120" s="181"/>
      <c r="G120" s="181"/>
      <c r="H120" s="181"/>
      <c r="I120" s="181"/>
      <c r="J120" s="181"/>
      <c r="K120" s="181"/>
      <c r="L120" s="181"/>
      <c r="M120" s="182"/>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81" t="s">
        <v>34</v>
      </c>
      <c r="E123" s="181"/>
      <c r="F123" s="181"/>
      <c r="G123" s="181"/>
      <c r="H123" s="181"/>
      <c r="I123" s="181"/>
      <c r="J123" s="181"/>
      <c r="K123" s="181"/>
      <c r="L123" s="181"/>
      <c r="M123" s="182"/>
      <c r="N123" s="97" t="str">
        <f>IF([9]回答表!F17="簡易水道事業",IF([9]回答表!AD43="○","○",""),"")</f>
        <v/>
      </c>
      <c r="O123" s="98"/>
      <c r="P123" s="98"/>
      <c r="Q123" s="99"/>
      <c r="R123" s="39"/>
      <c r="S123" s="39"/>
      <c r="T123" s="39"/>
      <c r="U123" s="106" t="str">
        <f>IF([9]回答表!F17="簡易水道事業",IF([9]回答表!AD43="○",[9]回答表!B249,""),"")</f>
        <v/>
      </c>
      <c r="V123" s="107"/>
      <c r="W123" s="107"/>
      <c r="X123" s="107"/>
      <c r="Y123" s="107"/>
      <c r="Z123" s="107"/>
      <c r="AA123" s="107"/>
      <c r="AB123" s="107"/>
      <c r="AC123" s="107"/>
      <c r="AD123" s="107"/>
      <c r="AE123" s="107"/>
      <c r="AF123" s="107"/>
      <c r="AG123" s="107"/>
      <c r="AH123" s="107"/>
      <c r="AI123" s="107"/>
      <c r="AJ123" s="108"/>
      <c r="AK123" s="56"/>
      <c r="AL123" s="56"/>
      <c r="AM123" s="106" t="str">
        <f>IF([9]回答表!F17="簡易水道事業",IF([9]回答表!AD43="○",[9]回答表!B255,""),"")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81"/>
      <c r="E124" s="181"/>
      <c r="F124" s="181"/>
      <c r="G124" s="181"/>
      <c r="H124" s="181"/>
      <c r="I124" s="181"/>
      <c r="J124" s="181"/>
      <c r="K124" s="181"/>
      <c r="L124" s="181"/>
      <c r="M124" s="182"/>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81"/>
      <c r="E125" s="181"/>
      <c r="F125" s="181"/>
      <c r="G125" s="181"/>
      <c r="H125" s="181"/>
      <c r="I125" s="181"/>
      <c r="J125" s="181"/>
      <c r="K125" s="181"/>
      <c r="L125" s="181"/>
      <c r="M125" s="182"/>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81"/>
      <c r="E126" s="181"/>
      <c r="F126" s="181"/>
      <c r="G126" s="181"/>
      <c r="H126" s="181"/>
      <c r="I126" s="181"/>
      <c r="J126" s="181"/>
      <c r="K126" s="181"/>
      <c r="L126" s="181"/>
      <c r="M126" s="182"/>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62"/>
      <c r="AS129" s="162"/>
      <c r="AT129" s="162"/>
      <c r="AU129" s="162"/>
      <c r="AV129" s="162"/>
      <c r="AW129" s="162"/>
      <c r="AX129" s="162"/>
      <c r="AY129" s="162"/>
      <c r="AZ129" s="162"/>
      <c r="BA129" s="162"/>
      <c r="BB129" s="162"/>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87"/>
      <c r="AS130" s="187"/>
      <c r="AT130" s="187"/>
      <c r="AU130" s="187"/>
      <c r="AV130" s="187"/>
      <c r="AW130" s="187"/>
      <c r="AX130" s="187"/>
      <c r="AY130" s="187"/>
      <c r="AZ130" s="187"/>
      <c r="BA130" s="187"/>
      <c r="BB130" s="187"/>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81" t="s">
        <v>18</v>
      </c>
      <c r="E135" s="181"/>
      <c r="F135" s="181"/>
      <c r="G135" s="181"/>
      <c r="H135" s="181"/>
      <c r="I135" s="181"/>
      <c r="J135" s="181"/>
      <c r="K135" s="181"/>
      <c r="L135" s="181"/>
      <c r="M135" s="181"/>
      <c r="N135" s="97" t="str">
        <f>IF([9]回答表!F17="下水道事業",IF([9]回答表!X43="○","○",""),"")</f>
        <v/>
      </c>
      <c r="O135" s="98"/>
      <c r="P135" s="98"/>
      <c r="Q135" s="99"/>
      <c r="R135" s="39"/>
      <c r="S135" s="39"/>
      <c r="T135" s="39"/>
      <c r="U135" s="188" t="s">
        <v>49</v>
      </c>
      <c r="V135" s="189"/>
      <c r="W135" s="189"/>
      <c r="X135" s="189"/>
      <c r="Y135" s="189"/>
      <c r="Z135" s="189"/>
      <c r="AA135" s="189"/>
      <c r="AB135" s="189"/>
      <c r="AC135" s="188" t="s">
        <v>50</v>
      </c>
      <c r="AD135" s="189"/>
      <c r="AE135" s="189"/>
      <c r="AF135" s="189"/>
      <c r="AG135" s="189"/>
      <c r="AH135" s="189"/>
      <c r="AI135" s="189"/>
      <c r="AJ135" s="198"/>
      <c r="AK135" s="50"/>
      <c r="AL135" s="50"/>
      <c r="AM135" s="106" t="str">
        <f>IF([9]回答表!F17="下水道事業",IF([9]回答表!X43="○",[9]回答表!B154,IF([9]回答表!AA43="○",[9]回答表!B201,"")),"")</f>
        <v/>
      </c>
      <c r="AN135" s="107"/>
      <c r="AO135" s="107"/>
      <c r="AP135" s="107"/>
      <c r="AQ135" s="107"/>
      <c r="AR135" s="107"/>
      <c r="AS135" s="107"/>
      <c r="AT135" s="107"/>
      <c r="AU135" s="107"/>
      <c r="AV135" s="107"/>
      <c r="AW135" s="107"/>
      <c r="AX135" s="107"/>
      <c r="AY135" s="107"/>
      <c r="AZ135" s="107"/>
      <c r="BA135" s="107"/>
      <c r="BB135" s="108"/>
      <c r="BC135" s="40"/>
      <c r="BD135" s="35"/>
      <c r="BE135" s="115" t="str">
        <f>IF([9]回答表!F17="下水道事業",IF([9]回答表!X43="○",[9]回答表!B190,IF([9]回答表!AA43="○",[9]回答表!B238,"")),"")</f>
        <v/>
      </c>
      <c r="BF135" s="116"/>
      <c r="BG135" s="116"/>
      <c r="BH135" s="116"/>
      <c r="BI135" s="115"/>
      <c r="BJ135" s="116"/>
      <c r="BK135" s="116"/>
      <c r="BL135" s="116"/>
      <c r="BM135" s="115"/>
      <c r="BN135" s="116"/>
      <c r="BO135" s="116"/>
      <c r="BP135" s="117"/>
      <c r="BQ135" s="38"/>
    </row>
    <row r="136" spans="3:69" ht="19.350000000000001" customHeight="1" x14ac:dyDescent="0.4">
      <c r="C136" s="33"/>
      <c r="D136" s="181"/>
      <c r="E136" s="181"/>
      <c r="F136" s="181"/>
      <c r="G136" s="181"/>
      <c r="H136" s="181"/>
      <c r="I136" s="181"/>
      <c r="J136" s="181"/>
      <c r="K136" s="181"/>
      <c r="L136" s="181"/>
      <c r="M136" s="181"/>
      <c r="N136" s="100"/>
      <c r="O136" s="101"/>
      <c r="P136" s="101"/>
      <c r="Q136" s="102"/>
      <c r="R136" s="39"/>
      <c r="S136" s="39"/>
      <c r="T136" s="39"/>
      <c r="U136" s="190"/>
      <c r="V136" s="191"/>
      <c r="W136" s="191"/>
      <c r="X136" s="191"/>
      <c r="Y136" s="191"/>
      <c r="Z136" s="191"/>
      <c r="AA136" s="191"/>
      <c r="AB136" s="191"/>
      <c r="AC136" s="190"/>
      <c r="AD136" s="191"/>
      <c r="AE136" s="191"/>
      <c r="AF136" s="191"/>
      <c r="AG136" s="191"/>
      <c r="AH136" s="191"/>
      <c r="AI136" s="191"/>
      <c r="AJ136" s="199"/>
      <c r="AK136" s="50"/>
      <c r="AL136" s="50"/>
      <c r="AM136" s="109"/>
      <c r="AN136" s="110"/>
      <c r="AO136" s="110"/>
      <c r="AP136" s="110"/>
      <c r="AQ136" s="110"/>
      <c r="AR136" s="110"/>
      <c r="AS136" s="110"/>
      <c r="AT136" s="110"/>
      <c r="AU136" s="110"/>
      <c r="AV136" s="110"/>
      <c r="AW136" s="110"/>
      <c r="AX136" s="110"/>
      <c r="AY136" s="110"/>
      <c r="AZ136" s="110"/>
      <c r="BA136" s="110"/>
      <c r="BB136" s="111"/>
      <c r="BC136" s="40"/>
      <c r="BD136" s="35"/>
      <c r="BE136" s="82"/>
      <c r="BF136" s="83"/>
      <c r="BG136" s="83"/>
      <c r="BH136" s="83"/>
      <c r="BI136" s="82"/>
      <c r="BJ136" s="83"/>
      <c r="BK136" s="83"/>
      <c r="BL136" s="83"/>
      <c r="BM136" s="82"/>
      <c r="BN136" s="83"/>
      <c r="BO136" s="83"/>
      <c r="BP136" s="86"/>
      <c r="BQ136" s="38"/>
    </row>
    <row r="137" spans="3:69" ht="15.6" customHeight="1" x14ac:dyDescent="0.4">
      <c r="C137" s="33"/>
      <c r="D137" s="181"/>
      <c r="E137" s="181"/>
      <c r="F137" s="181"/>
      <c r="G137" s="181"/>
      <c r="H137" s="181"/>
      <c r="I137" s="181"/>
      <c r="J137" s="181"/>
      <c r="K137" s="181"/>
      <c r="L137" s="181"/>
      <c r="M137" s="181"/>
      <c r="N137" s="100"/>
      <c r="O137" s="101"/>
      <c r="P137" s="101"/>
      <c r="Q137" s="102"/>
      <c r="R137" s="39"/>
      <c r="S137" s="39"/>
      <c r="T137" s="39"/>
      <c r="U137" s="118" t="str">
        <f>IF([9]回答表!F17="下水道事業",IF([9]回答表!X43="○",[9]回答表!Y184,IF([9]回答表!AA43="○",[9]回答表!Y232,"")),"")</f>
        <v/>
      </c>
      <c r="V137" s="119"/>
      <c r="W137" s="119"/>
      <c r="X137" s="119"/>
      <c r="Y137" s="119"/>
      <c r="Z137" s="119"/>
      <c r="AA137" s="119"/>
      <c r="AB137" s="120"/>
      <c r="AC137" s="118" t="str">
        <f>IF([9]回答表!F17="下水道事業",IF([9]回答表!X43="○",[9]回答表!Y185,IF([9]回答表!AA43="○",[9]回答表!Y233,"")),"")</f>
        <v/>
      </c>
      <c r="AD137" s="119"/>
      <c r="AE137" s="119"/>
      <c r="AF137" s="119"/>
      <c r="AG137" s="119"/>
      <c r="AH137" s="119"/>
      <c r="AI137" s="119"/>
      <c r="AJ137" s="120"/>
      <c r="AK137" s="50"/>
      <c r="AL137" s="50"/>
      <c r="AM137" s="109"/>
      <c r="AN137" s="110"/>
      <c r="AO137" s="110"/>
      <c r="AP137" s="110"/>
      <c r="AQ137" s="110"/>
      <c r="AR137" s="110"/>
      <c r="AS137" s="110"/>
      <c r="AT137" s="110"/>
      <c r="AU137" s="110"/>
      <c r="AV137" s="110"/>
      <c r="AW137" s="110"/>
      <c r="AX137" s="110"/>
      <c r="AY137" s="110"/>
      <c r="AZ137" s="110"/>
      <c r="BA137" s="110"/>
      <c r="BB137" s="111"/>
      <c r="BC137" s="40"/>
      <c r="BD137" s="35"/>
      <c r="BE137" s="82"/>
      <c r="BF137" s="83"/>
      <c r="BG137" s="83"/>
      <c r="BH137" s="83"/>
      <c r="BI137" s="82"/>
      <c r="BJ137" s="83"/>
      <c r="BK137" s="83"/>
      <c r="BL137" s="83"/>
      <c r="BM137" s="82"/>
      <c r="BN137" s="83"/>
      <c r="BO137" s="83"/>
      <c r="BP137" s="86"/>
      <c r="BQ137" s="38"/>
    </row>
    <row r="138" spans="3:69" ht="15.6" customHeight="1" x14ac:dyDescent="0.4">
      <c r="C138" s="33"/>
      <c r="D138" s="181"/>
      <c r="E138" s="181"/>
      <c r="F138" s="181"/>
      <c r="G138" s="181"/>
      <c r="H138" s="181"/>
      <c r="I138" s="181"/>
      <c r="J138" s="181"/>
      <c r="K138" s="181"/>
      <c r="L138" s="181"/>
      <c r="M138" s="181"/>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109"/>
      <c r="AN138" s="110"/>
      <c r="AO138" s="110"/>
      <c r="AP138" s="110"/>
      <c r="AQ138" s="110"/>
      <c r="AR138" s="110"/>
      <c r="AS138" s="110"/>
      <c r="AT138" s="110"/>
      <c r="AU138" s="110"/>
      <c r="AV138" s="110"/>
      <c r="AW138" s="110"/>
      <c r="AX138" s="110"/>
      <c r="AY138" s="110"/>
      <c r="AZ138" s="110"/>
      <c r="BA138" s="110"/>
      <c r="BB138" s="111"/>
      <c r="BC138" s="40"/>
      <c r="BD138" s="35"/>
      <c r="BE138" s="82" t="str">
        <f>IF([9]回答表!F17="下水道事業",IF([9]回答表!X43="○",[9]回答表!E190,IF([9]回答表!AA43="○",[9]回答表!E238,"")),"")</f>
        <v/>
      </c>
      <c r="BF138" s="83"/>
      <c r="BG138" s="83"/>
      <c r="BH138" s="83"/>
      <c r="BI138" s="82" t="str">
        <f>IF([9]回答表!F17="下水道事業",IF([9]回答表!X43="○",[9]回答表!E191,IF([9]回答表!AA43="○",[9]回答表!E239,"")),"")</f>
        <v/>
      </c>
      <c r="BJ138" s="83"/>
      <c r="BK138" s="83"/>
      <c r="BL138" s="83"/>
      <c r="BM138" s="82" t="str">
        <f>IF([9]回答表!F17="下水道事業",IF([9]回答表!X43="○",[9]回答表!E192,IF([9]回答表!AA43="○",[9]回答表!E240,"")),"")</f>
        <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109"/>
      <c r="AN139" s="110"/>
      <c r="AO139" s="110"/>
      <c r="AP139" s="110"/>
      <c r="AQ139" s="110"/>
      <c r="AR139" s="110"/>
      <c r="AS139" s="110"/>
      <c r="AT139" s="110"/>
      <c r="AU139" s="110"/>
      <c r="AV139" s="110"/>
      <c r="AW139" s="110"/>
      <c r="AX139" s="110"/>
      <c r="AY139" s="110"/>
      <c r="AZ139" s="110"/>
      <c r="BA139" s="110"/>
      <c r="BB139" s="111"/>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88" t="s">
        <v>51</v>
      </c>
      <c r="V140" s="189"/>
      <c r="W140" s="189"/>
      <c r="X140" s="189"/>
      <c r="Y140" s="189"/>
      <c r="Z140" s="189"/>
      <c r="AA140" s="189"/>
      <c r="AB140" s="189"/>
      <c r="AC140" s="192" t="s">
        <v>52</v>
      </c>
      <c r="AD140" s="193"/>
      <c r="AE140" s="193"/>
      <c r="AF140" s="193"/>
      <c r="AG140" s="193"/>
      <c r="AH140" s="193"/>
      <c r="AI140" s="193"/>
      <c r="AJ140" s="194"/>
      <c r="AK140" s="50"/>
      <c r="AL140" s="50"/>
      <c r="AM140" s="109"/>
      <c r="AN140" s="110"/>
      <c r="AO140" s="110"/>
      <c r="AP140" s="110"/>
      <c r="AQ140" s="110"/>
      <c r="AR140" s="110"/>
      <c r="AS140" s="110"/>
      <c r="AT140" s="110"/>
      <c r="AU140" s="110"/>
      <c r="AV140" s="110"/>
      <c r="AW140" s="110"/>
      <c r="AX140" s="110"/>
      <c r="AY140" s="110"/>
      <c r="AZ140" s="110"/>
      <c r="BA140" s="110"/>
      <c r="BB140" s="111"/>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86" t="s">
        <v>26</v>
      </c>
      <c r="E141" s="181"/>
      <c r="F141" s="181"/>
      <c r="G141" s="181"/>
      <c r="H141" s="181"/>
      <c r="I141" s="181"/>
      <c r="J141" s="181"/>
      <c r="K141" s="181"/>
      <c r="L141" s="181"/>
      <c r="M141" s="182"/>
      <c r="N141" s="97" t="str">
        <f>IF([9]回答表!F17="下水道事業",IF([9]回答表!AA43="○","○",""),"")</f>
        <v/>
      </c>
      <c r="O141" s="98"/>
      <c r="P141" s="98"/>
      <c r="Q141" s="99"/>
      <c r="R141" s="39"/>
      <c r="S141" s="39"/>
      <c r="T141" s="39"/>
      <c r="U141" s="190"/>
      <c r="V141" s="191"/>
      <c r="W141" s="191"/>
      <c r="X141" s="191"/>
      <c r="Y141" s="191"/>
      <c r="Z141" s="191"/>
      <c r="AA141" s="191"/>
      <c r="AB141" s="191"/>
      <c r="AC141" s="195"/>
      <c r="AD141" s="196"/>
      <c r="AE141" s="196"/>
      <c r="AF141" s="196"/>
      <c r="AG141" s="196"/>
      <c r="AH141" s="196"/>
      <c r="AI141" s="196"/>
      <c r="AJ141" s="197"/>
      <c r="AK141" s="50"/>
      <c r="AL141" s="50"/>
      <c r="AM141" s="109"/>
      <c r="AN141" s="110"/>
      <c r="AO141" s="110"/>
      <c r="AP141" s="110"/>
      <c r="AQ141" s="110"/>
      <c r="AR141" s="110"/>
      <c r="AS141" s="110"/>
      <c r="AT141" s="110"/>
      <c r="AU141" s="110"/>
      <c r="AV141" s="110"/>
      <c r="AW141" s="110"/>
      <c r="AX141" s="110"/>
      <c r="AY141" s="110"/>
      <c r="AZ141" s="110"/>
      <c r="BA141" s="110"/>
      <c r="BB141" s="111"/>
      <c r="BC141" s="40"/>
      <c r="BD141" s="54"/>
      <c r="BE141" s="82"/>
      <c r="BF141" s="83"/>
      <c r="BG141" s="83"/>
      <c r="BH141" s="83"/>
      <c r="BI141" s="82"/>
      <c r="BJ141" s="83"/>
      <c r="BK141" s="83"/>
      <c r="BL141" s="83"/>
      <c r="BM141" s="82"/>
      <c r="BN141" s="83"/>
      <c r="BO141" s="83"/>
      <c r="BP141" s="86"/>
      <c r="BQ141" s="38"/>
    </row>
    <row r="142" spans="3:69" ht="15.6" customHeight="1" x14ac:dyDescent="0.4">
      <c r="C142" s="33"/>
      <c r="D142" s="181"/>
      <c r="E142" s="181"/>
      <c r="F142" s="181"/>
      <c r="G142" s="181"/>
      <c r="H142" s="181"/>
      <c r="I142" s="181"/>
      <c r="J142" s="181"/>
      <c r="K142" s="181"/>
      <c r="L142" s="181"/>
      <c r="M142" s="182"/>
      <c r="N142" s="100"/>
      <c r="O142" s="101"/>
      <c r="P142" s="101"/>
      <c r="Q142" s="102"/>
      <c r="R142" s="39"/>
      <c r="S142" s="39"/>
      <c r="T142" s="39"/>
      <c r="U142" s="118" t="str">
        <f>IF([9]回答表!F17="下水道事業",IF([9]回答表!X43="○",[9]回答表!Y186,IF([9]回答表!AA43="○",[9]回答表!Y234,"")),"")</f>
        <v/>
      </c>
      <c r="V142" s="119"/>
      <c r="W142" s="119"/>
      <c r="X142" s="119"/>
      <c r="Y142" s="119"/>
      <c r="Z142" s="119"/>
      <c r="AA142" s="119"/>
      <c r="AB142" s="120"/>
      <c r="AC142" s="118" t="str">
        <f>IF([9]回答表!F17="下水道事業",IF([9]回答表!X43="○",[9]回答表!Y187,IF([9]回答表!AA43="○",[9]回答表!Y235,"")),"")</f>
        <v/>
      </c>
      <c r="AD142" s="119"/>
      <c r="AE142" s="119"/>
      <c r="AF142" s="119"/>
      <c r="AG142" s="119"/>
      <c r="AH142" s="119"/>
      <c r="AI142" s="119"/>
      <c r="AJ142" s="120"/>
      <c r="AK142" s="50"/>
      <c r="AL142" s="50"/>
      <c r="AM142" s="109"/>
      <c r="AN142" s="110"/>
      <c r="AO142" s="110"/>
      <c r="AP142" s="110"/>
      <c r="AQ142" s="110"/>
      <c r="AR142" s="110"/>
      <c r="AS142" s="110"/>
      <c r="AT142" s="110"/>
      <c r="AU142" s="110"/>
      <c r="AV142" s="110"/>
      <c r="AW142" s="110"/>
      <c r="AX142" s="110"/>
      <c r="AY142" s="110"/>
      <c r="AZ142" s="110"/>
      <c r="BA142" s="110"/>
      <c r="BB142" s="111"/>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81"/>
      <c r="E143" s="181"/>
      <c r="F143" s="181"/>
      <c r="G143" s="181"/>
      <c r="H143" s="181"/>
      <c r="I143" s="181"/>
      <c r="J143" s="181"/>
      <c r="K143" s="181"/>
      <c r="L143" s="181"/>
      <c r="M143" s="182"/>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109"/>
      <c r="AN143" s="110"/>
      <c r="AO143" s="110"/>
      <c r="AP143" s="110"/>
      <c r="AQ143" s="110"/>
      <c r="AR143" s="110"/>
      <c r="AS143" s="110"/>
      <c r="AT143" s="110"/>
      <c r="AU143" s="110"/>
      <c r="AV143" s="110"/>
      <c r="AW143" s="110"/>
      <c r="AX143" s="110"/>
      <c r="AY143" s="110"/>
      <c r="AZ143" s="110"/>
      <c r="BA143" s="110"/>
      <c r="BB143" s="111"/>
      <c r="BC143" s="40"/>
      <c r="BD143" s="54"/>
      <c r="BE143" s="82"/>
      <c r="BF143" s="83"/>
      <c r="BG143" s="83"/>
      <c r="BH143" s="83"/>
      <c r="BI143" s="82"/>
      <c r="BJ143" s="83"/>
      <c r="BK143" s="83"/>
      <c r="BL143" s="83"/>
      <c r="BM143" s="82"/>
      <c r="BN143" s="83"/>
      <c r="BO143" s="83"/>
      <c r="BP143" s="86"/>
      <c r="BQ143" s="38"/>
    </row>
    <row r="144" spans="3:69" ht="15.6" customHeight="1" x14ac:dyDescent="0.4">
      <c r="C144" s="33"/>
      <c r="D144" s="181"/>
      <c r="E144" s="181"/>
      <c r="F144" s="181"/>
      <c r="G144" s="181"/>
      <c r="H144" s="181"/>
      <c r="I144" s="181"/>
      <c r="J144" s="181"/>
      <c r="K144" s="181"/>
      <c r="L144" s="181"/>
      <c r="M144" s="182"/>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112"/>
      <c r="AN144" s="113"/>
      <c r="AO144" s="113"/>
      <c r="AP144" s="113"/>
      <c r="AQ144" s="113"/>
      <c r="AR144" s="113"/>
      <c r="AS144" s="113"/>
      <c r="AT144" s="113"/>
      <c r="AU144" s="113"/>
      <c r="AV144" s="113"/>
      <c r="AW144" s="113"/>
      <c r="AX144" s="113"/>
      <c r="AY144" s="113"/>
      <c r="AZ144" s="113"/>
      <c r="BA144" s="113"/>
      <c r="BB144" s="114"/>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81" t="s">
        <v>34</v>
      </c>
      <c r="E147" s="181"/>
      <c r="F147" s="181"/>
      <c r="G147" s="181"/>
      <c r="H147" s="181"/>
      <c r="I147" s="181"/>
      <c r="J147" s="181"/>
      <c r="K147" s="181"/>
      <c r="L147" s="181"/>
      <c r="M147" s="182"/>
      <c r="N147" s="97" t="str">
        <f>IF([9]回答表!F17="下水道事業",IF([9]回答表!AD43="○","○",""),"")</f>
        <v/>
      </c>
      <c r="O147" s="98"/>
      <c r="P147" s="98"/>
      <c r="Q147" s="99"/>
      <c r="R147" s="39"/>
      <c r="S147" s="39"/>
      <c r="T147" s="39"/>
      <c r="U147" s="106" t="str">
        <f>IF([9]回答表!F17="下水道事業",IF([9]回答表!AD43="○",[9]回答表!B249,""),"")</f>
        <v/>
      </c>
      <c r="V147" s="107"/>
      <c r="W147" s="107"/>
      <c r="X147" s="107"/>
      <c r="Y147" s="107"/>
      <c r="Z147" s="107"/>
      <c r="AA147" s="107"/>
      <c r="AB147" s="107"/>
      <c r="AC147" s="107"/>
      <c r="AD147" s="107"/>
      <c r="AE147" s="107"/>
      <c r="AF147" s="107"/>
      <c r="AG147" s="107"/>
      <c r="AH147" s="107"/>
      <c r="AI147" s="107"/>
      <c r="AJ147" s="108"/>
      <c r="AK147" s="56"/>
      <c r="AL147" s="56"/>
      <c r="AM147" s="106" t="str">
        <f>IF([9]回答表!F17="下水道事業",IF([9]回答表!AD43="○",[9]回答表!B255,""),"")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81"/>
      <c r="E148" s="181"/>
      <c r="F148" s="181"/>
      <c r="G148" s="181"/>
      <c r="H148" s="181"/>
      <c r="I148" s="181"/>
      <c r="J148" s="181"/>
      <c r="K148" s="181"/>
      <c r="L148" s="181"/>
      <c r="M148" s="182"/>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81"/>
      <c r="E149" s="181"/>
      <c r="F149" s="181"/>
      <c r="G149" s="181"/>
      <c r="H149" s="181"/>
      <c r="I149" s="181"/>
      <c r="J149" s="181"/>
      <c r="K149" s="181"/>
      <c r="L149" s="181"/>
      <c r="M149" s="182"/>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81"/>
      <c r="E150" s="181"/>
      <c r="F150" s="181"/>
      <c r="G150" s="181"/>
      <c r="H150" s="181"/>
      <c r="I150" s="181"/>
      <c r="J150" s="181"/>
      <c r="K150" s="181"/>
      <c r="L150" s="181"/>
      <c r="M150" s="182"/>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62"/>
      <c r="AS153" s="162"/>
      <c r="AT153" s="162"/>
      <c r="AU153" s="162"/>
      <c r="AV153" s="162"/>
      <c r="AW153" s="162"/>
      <c r="AX153" s="162"/>
      <c r="AY153" s="162"/>
      <c r="AZ153" s="162"/>
      <c r="BA153" s="162"/>
      <c r="BB153" s="162"/>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87"/>
      <c r="AS154" s="187"/>
      <c r="AT154" s="187"/>
      <c r="AU154" s="187"/>
      <c r="AV154" s="187"/>
      <c r="AW154" s="187"/>
      <c r="AX154" s="187"/>
      <c r="AY154" s="187"/>
      <c r="AZ154" s="187"/>
      <c r="BA154" s="187"/>
      <c r="BB154" s="187"/>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81" t="s">
        <v>18</v>
      </c>
      <c r="E159" s="181"/>
      <c r="F159" s="181"/>
      <c r="G159" s="181"/>
      <c r="H159" s="181"/>
      <c r="I159" s="181"/>
      <c r="J159" s="181"/>
      <c r="K159" s="181"/>
      <c r="L159" s="181"/>
      <c r="M159" s="181"/>
      <c r="N159" s="97" t="str">
        <f>IF([9]回答表!BD17="○",IF([9]回答表!X43="○","○",""),"")</f>
        <v/>
      </c>
      <c r="O159" s="98"/>
      <c r="P159" s="98"/>
      <c r="Q159" s="99"/>
      <c r="R159" s="39"/>
      <c r="S159" s="39"/>
      <c r="T159" s="39"/>
      <c r="U159" s="106" t="str">
        <f>IF([9]回答表!BD17="○",IF([9]回答表!X43="○",[9]回答表!B154,IF([9]回答表!AA43="○",[9]回答表!B201,"")),"")</f>
        <v/>
      </c>
      <c r="V159" s="107"/>
      <c r="W159" s="107"/>
      <c r="X159" s="107"/>
      <c r="Y159" s="107"/>
      <c r="Z159" s="107"/>
      <c r="AA159" s="107"/>
      <c r="AB159" s="107"/>
      <c r="AC159" s="107"/>
      <c r="AD159" s="107"/>
      <c r="AE159" s="107"/>
      <c r="AF159" s="107"/>
      <c r="AG159" s="107"/>
      <c r="AH159" s="107"/>
      <c r="AI159" s="107"/>
      <c r="AJ159" s="108"/>
      <c r="AK159" s="50"/>
      <c r="AL159" s="50"/>
      <c r="AM159" s="115" t="str">
        <f>IF([9]回答表!BD17="○",IF([9]回答表!X43="○",[9]回答表!B190,IF([9]回答表!AA43="○",[9]回答表!B238,"")),"")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81"/>
      <c r="E160" s="181"/>
      <c r="F160" s="181"/>
      <c r="G160" s="181"/>
      <c r="H160" s="181"/>
      <c r="I160" s="181"/>
      <c r="J160" s="181"/>
      <c r="K160" s="181"/>
      <c r="L160" s="181"/>
      <c r="M160" s="181"/>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81"/>
      <c r="E161" s="181"/>
      <c r="F161" s="181"/>
      <c r="G161" s="181"/>
      <c r="H161" s="181"/>
      <c r="I161" s="181"/>
      <c r="J161" s="181"/>
      <c r="K161" s="181"/>
      <c r="L161" s="181"/>
      <c r="M161" s="181"/>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81"/>
      <c r="E162" s="181"/>
      <c r="F162" s="181"/>
      <c r="G162" s="181"/>
      <c r="H162" s="181"/>
      <c r="I162" s="181"/>
      <c r="J162" s="181"/>
      <c r="K162" s="181"/>
      <c r="L162" s="181"/>
      <c r="M162" s="181"/>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IF([9]回答表!BD17="○",IF([9]回答表!X43="○",[9]回答表!E190,IF([9]回答表!AA43="○",[9]回答表!E238,"")),"")</f>
        <v/>
      </c>
      <c r="AN162" s="83"/>
      <c r="AO162" s="83"/>
      <c r="AP162" s="83"/>
      <c r="AQ162" s="82" t="str">
        <f>IF([9]回答表!BD17="○",IF([9]回答表!X43="○",[9]回答表!E191,IF([9]回答表!AA43="○",[9]回答表!E239,"")),"")</f>
        <v/>
      </c>
      <c r="AR162" s="83"/>
      <c r="AS162" s="83"/>
      <c r="AT162" s="83"/>
      <c r="AU162" s="82" t="str">
        <f>IF([9]回答表!BD17="○",IF([9]回答表!X43="○",[9]回答表!E192,IF([9]回答表!AA43="○",[9]回答表!E240,"")),"")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86" t="s">
        <v>26</v>
      </c>
      <c r="E165" s="181"/>
      <c r="F165" s="181"/>
      <c r="G165" s="181"/>
      <c r="H165" s="181"/>
      <c r="I165" s="181"/>
      <c r="J165" s="181"/>
      <c r="K165" s="181"/>
      <c r="L165" s="181"/>
      <c r="M165" s="182"/>
      <c r="N165" s="97" t="str">
        <f>IF([9]回答表!BD17="○",IF([9]回答表!AA43="○","○",""),"")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81"/>
      <c r="E166" s="181"/>
      <c r="F166" s="181"/>
      <c r="G166" s="181"/>
      <c r="H166" s="181"/>
      <c r="I166" s="181"/>
      <c r="J166" s="181"/>
      <c r="K166" s="181"/>
      <c r="L166" s="181"/>
      <c r="M166" s="182"/>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81"/>
      <c r="E167" s="181"/>
      <c r="F167" s="181"/>
      <c r="G167" s="181"/>
      <c r="H167" s="181"/>
      <c r="I167" s="181"/>
      <c r="J167" s="181"/>
      <c r="K167" s="181"/>
      <c r="L167" s="181"/>
      <c r="M167" s="182"/>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81"/>
      <c r="E168" s="181"/>
      <c r="F168" s="181"/>
      <c r="G168" s="181"/>
      <c r="H168" s="181"/>
      <c r="I168" s="181"/>
      <c r="J168" s="181"/>
      <c r="K168" s="181"/>
      <c r="L168" s="181"/>
      <c r="M168" s="182"/>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81" t="s">
        <v>34</v>
      </c>
      <c r="E171" s="181"/>
      <c r="F171" s="181"/>
      <c r="G171" s="181"/>
      <c r="H171" s="181"/>
      <c r="I171" s="181"/>
      <c r="J171" s="181"/>
      <c r="K171" s="181"/>
      <c r="L171" s="181"/>
      <c r="M171" s="182"/>
      <c r="N171" s="97" t="str">
        <f>IF([9]回答表!BD17="○",IF([9]回答表!AD43="○","○",""),"")</f>
        <v/>
      </c>
      <c r="O171" s="98"/>
      <c r="P171" s="98"/>
      <c r="Q171" s="99"/>
      <c r="R171" s="39"/>
      <c r="S171" s="39"/>
      <c r="T171" s="39"/>
      <c r="U171" s="106" t="str">
        <f>IF([9]回答表!BD17="○",IF([9]回答表!AD43="○",[9]回答表!B249,""),"")</f>
        <v/>
      </c>
      <c r="V171" s="107"/>
      <c r="W171" s="107"/>
      <c r="X171" s="107"/>
      <c r="Y171" s="107"/>
      <c r="Z171" s="107"/>
      <c r="AA171" s="107"/>
      <c r="AB171" s="107"/>
      <c r="AC171" s="107"/>
      <c r="AD171" s="107"/>
      <c r="AE171" s="107"/>
      <c r="AF171" s="107"/>
      <c r="AG171" s="107"/>
      <c r="AH171" s="107"/>
      <c r="AI171" s="107"/>
      <c r="AJ171" s="108"/>
      <c r="AK171" s="56"/>
      <c r="AL171" s="56"/>
      <c r="AM171" s="106" t="str">
        <f>IF([9]回答表!BD17="○",IF([9]回答表!AD43="○",[9]回答表!B255,""),"")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81"/>
      <c r="E172" s="181"/>
      <c r="F172" s="181"/>
      <c r="G172" s="181"/>
      <c r="H172" s="181"/>
      <c r="I172" s="181"/>
      <c r="J172" s="181"/>
      <c r="K172" s="181"/>
      <c r="L172" s="181"/>
      <c r="M172" s="182"/>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81"/>
      <c r="E173" s="181"/>
      <c r="F173" s="181"/>
      <c r="G173" s="181"/>
      <c r="H173" s="181"/>
      <c r="I173" s="181"/>
      <c r="J173" s="181"/>
      <c r="K173" s="181"/>
      <c r="L173" s="181"/>
      <c r="M173" s="182"/>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81"/>
      <c r="E174" s="181"/>
      <c r="F174" s="181"/>
      <c r="G174" s="181"/>
      <c r="H174" s="181"/>
      <c r="I174" s="181"/>
      <c r="J174" s="181"/>
      <c r="K174" s="181"/>
      <c r="L174" s="181"/>
      <c r="M174" s="182"/>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62"/>
      <c r="AS177" s="162"/>
      <c r="AT177" s="162"/>
      <c r="AU177" s="162"/>
      <c r="AV177" s="162"/>
      <c r="AW177" s="162"/>
      <c r="AX177" s="162"/>
      <c r="AY177" s="162"/>
      <c r="AZ177" s="162"/>
      <c r="BA177" s="162"/>
      <c r="BB177" s="162"/>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87"/>
      <c r="AS178" s="187"/>
      <c r="AT178" s="187"/>
      <c r="AU178" s="187"/>
      <c r="AV178" s="187"/>
      <c r="AW178" s="187"/>
      <c r="AX178" s="187"/>
      <c r="AY178" s="187"/>
      <c r="AZ178" s="187"/>
      <c r="BA178" s="187"/>
      <c r="BB178" s="187"/>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81" t="s">
        <v>18</v>
      </c>
      <c r="E183" s="181"/>
      <c r="F183" s="181"/>
      <c r="G183" s="181"/>
      <c r="H183" s="181"/>
      <c r="I183" s="181"/>
      <c r="J183" s="181"/>
      <c r="K183" s="181"/>
      <c r="L183" s="181"/>
      <c r="M183" s="181"/>
      <c r="N183" s="97" t="str">
        <f>IF([9]回答表!X44="○","○","")</f>
        <v/>
      </c>
      <c r="O183" s="98"/>
      <c r="P183" s="98"/>
      <c r="Q183" s="99"/>
      <c r="R183" s="39"/>
      <c r="S183" s="39"/>
      <c r="T183" s="39"/>
      <c r="U183" s="106" t="str">
        <f>IF([9]回答表!X44="○",[9]回答表!B266,IF([9]回答表!AA44="○",[9]回答表!B283,""))</f>
        <v/>
      </c>
      <c r="V183" s="107"/>
      <c r="W183" s="107"/>
      <c r="X183" s="107"/>
      <c r="Y183" s="107"/>
      <c r="Z183" s="107"/>
      <c r="AA183" s="107"/>
      <c r="AB183" s="107"/>
      <c r="AC183" s="107"/>
      <c r="AD183" s="107"/>
      <c r="AE183" s="107"/>
      <c r="AF183" s="107"/>
      <c r="AG183" s="107"/>
      <c r="AH183" s="107"/>
      <c r="AI183" s="107"/>
      <c r="AJ183" s="108"/>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IF([9]回答表!X44="○",[9]回答表!U272,IF([9]回答表!AA44="○",[9]回答表!U289,""))</f>
        <v/>
      </c>
      <c r="BF183" s="116"/>
      <c r="BG183" s="116"/>
      <c r="BH183" s="116"/>
      <c r="BI183" s="115"/>
      <c r="BJ183" s="116"/>
      <c r="BK183" s="116"/>
      <c r="BL183" s="116"/>
      <c r="BM183" s="115"/>
      <c r="BN183" s="116"/>
      <c r="BO183" s="116"/>
      <c r="BP183" s="117"/>
      <c r="BQ183" s="38"/>
      <c r="BR183" s="25"/>
    </row>
    <row r="184" spans="3:70" ht="15.6" customHeight="1" x14ac:dyDescent="0.4">
      <c r="C184" s="33"/>
      <c r="D184" s="181"/>
      <c r="E184" s="181"/>
      <c r="F184" s="181"/>
      <c r="G184" s="181"/>
      <c r="H184" s="181"/>
      <c r="I184" s="181"/>
      <c r="J184" s="181"/>
      <c r="K184" s="181"/>
      <c r="L184" s="181"/>
      <c r="M184" s="181"/>
      <c r="N184" s="100"/>
      <c r="O184" s="101"/>
      <c r="P184" s="101"/>
      <c r="Q184" s="102"/>
      <c r="R184" s="39"/>
      <c r="S184" s="39"/>
      <c r="T184" s="39"/>
      <c r="U184" s="109"/>
      <c r="V184" s="110"/>
      <c r="W184" s="110"/>
      <c r="X184" s="110"/>
      <c r="Y184" s="110"/>
      <c r="Z184" s="110"/>
      <c r="AA184" s="110"/>
      <c r="AB184" s="110"/>
      <c r="AC184" s="110"/>
      <c r="AD184" s="110"/>
      <c r="AE184" s="110"/>
      <c r="AF184" s="110"/>
      <c r="AG184" s="110"/>
      <c r="AH184" s="110"/>
      <c r="AI184" s="110"/>
      <c r="AJ184" s="111"/>
      <c r="AK184" s="50"/>
      <c r="AL184" s="50"/>
      <c r="AM184" s="183"/>
      <c r="AN184" s="184"/>
      <c r="AO184" s="184"/>
      <c r="AP184" s="184"/>
      <c r="AQ184" s="184"/>
      <c r="AR184" s="184"/>
      <c r="AS184" s="184"/>
      <c r="AT184" s="185"/>
      <c r="AU184" s="183"/>
      <c r="AV184" s="184"/>
      <c r="AW184" s="184"/>
      <c r="AX184" s="184"/>
      <c r="AY184" s="184"/>
      <c r="AZ184" s="184"/>
      <c r="BA184" s="184"/>
      <c r="BB184" s="185"/>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81"/>
      <c r="E185" s="181"/>
      <c r="F185" s="181"/>
      <c r="G185" s="181"/>
      <c r="H185" s="181"/>
      <c r="I185" s="181"/>
      <c r="J185" s="181"/>
      <c r="K185" s="181"/>
      <c r="L185" s="181"/>
      <c r="M185" s="181"/>
      <c r="N185" s="100"/>
      <c r="O185" s="101"/>
      <c r="P185" s="101"/>
      <c r="Q185" s="102"/>
      <c r="R185" s="39"/>
      <c r="S185" s="39"/>
      <c r="T185" s="39"/>
      <c r="U185" s="109"/>
      <c r="V185" s="110"/>
      <c r="W185" s="110"/>
      <c r="X185" s="110"/>
      <c r="Y185" s="110"/>
      <c r="Z185" s="110"/>
      <c r="AA185" s="110"/>
      <c r="AB185" s="110"/>
      <c r="AC185" s="110"/>
      <c r="AD185" s="110"/>
      <c r="AE185" s="110"/>
      <c r="AF185" s="110"/>
      <c r="AG185" s="110"/>
      <c r="AH185" s="110"/>
      <c r="AI185" s="110"/>
      <c r="AJ185" s="111"/>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81"/>
      <c r="E186" s="181"/>
      <c r="F186" s="181"/>
      <c r="G186" s="181"/>
      <c r="H186" s="181"/>
      <c r="I186" s="181"/>
      <c r="J186" s="181"/>
      <c r="K186" s="181"/>
      <c r="L186" s="181"/>
      <c r="M186" s="181"/>
      <c r="N186" s="103"/>
      <c r="O186" s="104"/>
      <c r="P186" s="104"/>
      <c r="Q186" s="105"/>
      <c r="R186" s="39"/>
      <c r="S186" s="39"/>
      <c r="T186" s="39"/>
      <c r="U186" s="109"/>
      <c r="V186" s="110"/>
      <c r="W186" s="110"/>
      <c r="X186" s="110"/>
      <c r="Y186" s="110"/>
      <c r="Z186" s="110"/>
      <c r="AA186" s="110"/>
      <c r="AB186" s="110"/>
      <c r="AC186" s="110"/>
      <c r="AD186" s="110"/>
      <c r="AE186" s="110"/>
      <c r="AF186" s="110"/>
      <c r="AG186" s="110"/>
      <c r="AH186" s="110"/>
      <c r="AI186" s="110"/>
      <c r="AJ186" s="111"/>
      <c r="AK186" s="50"/>
      <c r="AL186" s="50"/>
      <c r="AM186" s="118" t="str">
        <f>IF([9]回答表!X44="○",[9]回答表!G272,IF([9]回答表!AA44="○",[9]回答表!G289,""))</f>
        <v/>
      </c>
      <c r="AN186" s="119"/>
      <c r="AO186" s="119"/>
      <c r="AP186" s="119"/>
      <c r="AQ186" s="119"/>
      <c r="AR186" s="119"/>
      <c r="AS186" s="119"/>
      <c r="AT186" s="120"/>
      <c r="AU186" s="118" t="str">
        <f>IF([9]回答表!X44="○",[9]回答表!G273,IF([9]回答表!AA44="○",[9]回答表!G290,""))</f>
        <v/>
      </c>
      <c r="AV186" s="119"/>
      <c r="AW186" s="119"/>
      <c r="AX186" s="119"/>
      <c r="AY186" s="119"/>
      <c r="AZ186" s="119"/>
      <c r="BA186" s="119"/>
      <c r="BB186" s="120"/>
      <c r="BC186" s="40"/>
      <c r="BD186" s="35"/>
      <c r="BE186" s="82" t="str">
        <f>IF([9]回答表!X44="○",[9]回答表!X272,IF([9]回答表!AA44="○",[9]回答表!X289,""))</f>
        <v/>
      </c>
      <c r="BF186" s="83"/>
      <c r="BG186" s="83"/>
      <c r="BH186" s="83"/>
      <c r="BI186" s="82" t="str">
        <f>IF([9]回答表!X44="○",[9]回答表!X273,IF([9]回答表!AA44="○",[9]回答表!X290,""))</f>
        <v/>
      </c>
      <c r="BJ186" s="83"/>
      <c r="BK186" s="83"/>
      <c r="BL186" s="86"/>
      <c r="BM186" s="82" t="str">
        <f>IF([9]回答表!X44="○",[9]回答表!X274,IF([9]回答表!AA44="○",[9]回答表!X291,""))</f>
        <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09"/>
      <c r="V187" s="110"/>
      <c r="W187" s="110"/>
      <c r="X187" s="110"/>
      <c r="Y187" s="110"/>
      <c r="Z187" s="110"/>
      <c r="AA187" s="110"/>
      <c r="AB187" s="110"/>
      <c r="AC187" s="110"/>
      <c r="AD187" s="110"/>
      <c r="AE187" s="110"/>
      <c r="AF187" s="110"/>
      <c r="AG187" s="110"/>
      <c r="AH187" s="110"/>
      <c r="AI187" s="110"/>
      <c r="AJ187" s="111"/>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09"/>
      <c r="V188" s="110"/>
      <c r="W188" s="110"/>
      <c r="X188" s="110"/>
      <c r="Y188" s="110"/>
      <c r="Z188" s="110"/>
      <c r="AA188" s="110"/>
      <c r="AB188" s="110"/>
      <c r="AC188" s="110"/>
      <c r="AD188" s="110"/>
      <c r="AE188" s="110"/>
      <c r="AF188" s="110"/>
      <c r="AG188" s="110"/>
      <c r="AH188" s="110"/>
      <c r="AI188" s="110"/>
      <c r="AJ188" s="111"/>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86" t="s">
        <v>26</v>
      </c>
      <c r="E189" s="181"/>
      <c r="F189" s="181"/>
      <c r="G189" s="181"/>
      <c r="H189" s="181"/>
      <c r="I189" s="181"/>
      <c r="J189" s="181"/>
      <c r="K189" s="181"/>
      <c r="L189" s="181"/>
      <c r="M189" s="182"/>
      <c r="N189" s="97" t="str">
        <f>IF([9]回答表!AA44="○","○","")</f>
        <v/>
      </c>
      <c r="O189" s="98"/>
      <c r="P189" s="98"/>
      <c r="Q189" s="99"/>
      <c r="R189" s="39"/>
      <c r="S189" s="39"/>
      <c r="T189" s="39"/>
      <c r="U189" s="109"/>
      <c r="V189" s="110"/>
      <c r="W189" s="110"/>
      <c r="X189" s="110"/>
      <c r="Y189" s="110"/>
      <c r="Z189" s="110"/>
      <c r="AA189" s="110"/>
      <c r="AB189" s="110"/>
      <c r="AC189" s="110"/>
      <c r="AD189" s="110"/>
      <c r="AE189" s="110"/>
      <c r="AF189" s="110"/>
      <c r="AG189" s="110"/>
      <c r="AH189" s="110"/>
      <c r="AI189" s="110"/>
      <c r="AJ189" s="111"/>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81"/>
      <c r="E190" s="181"/>
      <c r="F190" s="181"/>
      <c r="G190" s="181"/>
      <c r="H190" s="181"/>
      <c r="I190" s="181"/>
      <c r="J190" s="181"/>
      <c r="K190" s="181"/>
      <c r="L190" s="181"/>
      <c r="M190" s="182"/>
      <c r="N190" s="100"/>
      <c r="O190" s="101"/>
      <c r="P190" s="101"/>
      <c r="Q190" s="102"/>
      <c r="R190" s="39"/>
      <c r="S190" s="39"/>
      <c r="T190" s="39"/>
      <c r="U190" s="109"/>
      <c r="V190" s="110"/>
      <c r="W190" s="110"/>
      <c r="X190" s="110"/>
      <c r="Y190" s="110"/>
      <c r="Z190" s="110"/>
      <c r="AA190" s="110"/>
      <c r="AB190" s="110"/>
      <c r="AC190" s="110"/>
      <c r="AD190" s="110"/>
      <c r="AE190" s="110"/>
      <c r="AF190" s="110"/>
      <c r="AG190" s="110"/>
      <c r="AH190" s="110"/>
      <c r="AI190" s="110"/>
      <c r="AJ190" s="111"/>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81"/>
      <c r="E191" s="181"/>
      <c r="F191" s="181"/>
      <c r="G191" s="181"/>
      <c r="H191" s="181"/>
      <c r="I191" s="181"/>
      <c r="J191" s="181"/>
      <c r="K191" s="181"/>
      <c r="L191" s="181"/>
      <c r="M191" s="182"/>
      <c r="N191" s="100"/>
      <c r="O191" s="101"/>
      <c r="P191" s="101"/>
      <c r="Q191" s="102"/>
      <c r="R191" s="39"/>
      <c r="S191" s="39"/>
      <c r="T191" s="39"/>
      <c r="U191" s="109"/>
      <c r="V191" s="110"/>
      <c r="W191" s="110"/>
      <c r="X191" s="110"/>
      <c r="Y191" s="110"/>
      <c r="Z191" s="110"/>
      <c r="AA191" s="110"/>
      <c r="AB191" s="110"/>
      <c r="AC191" s="110"/>
      <c r="AD191" s="110"/>
      <c r="AE191" s="110"/>
      <c r="AF191" s="110"/>
      <c r="AG191" s="110"/>
      <c r="AH191" s="110"/>
      <c r="AI191" s="110"/>
      <c r="AJ191" s="111"/>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81"/>
      <c r="E192" s="181"/>
      <c r="F192" s="181"/>
      <c r="G192" s="181"/>
      <c r="H192" s="181"/>
      <c r="I192" s="181"/>
      <c r="J192" s="181"/>
      <c r="K192" s="181"/>
      <c r="L192" s="181"/>
      <c r="M192" s="182"/>
      <c r="N192" s="103"/>
      <c r="O192" s="104"/>
      <c r="P192" s="104"/>
      <c r="Q192" s="105"/>
      <c r="R192" s="39"/>
      <c r="S192" s="39"/>
      <c r="T192" s="39"/>
      <c r="U192" s="112"/>
      <c r="V192" s="113"/>
      <c r="W192" s="113"/>
      <c r="X192" s="113"/>
      <c r="Y192" s="113"/>
      <c r="Z192" s="113"/>
      <c r="AA192" s="113"/>
      <c r="AB192" s="113"/>
      <c r="AC192" s="113"/>
      <c r="AD192" s="113"/>
      <c r="AE192" s="113"/>
      <c r="AF192" s="113"/>
      <c r="AG192" s="113"/>
      <c r="AH192" s="113"/>
      <c r="AI192" s="113"/>
      <c r="AJ192" s="114"/>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81" t="s">
        <v>34</v>
      </c>
      <c r="E195" s="181"/>
      <c r="F195" s="181"/>
      <c r="G195" s="181"/>
      <c r="H195" s="181"/>
      <c r="I195" s="181"/>
      <c r="J195" s="181"/>
      <c r="K195" s="181"/>
      <c r="L195" s="181"/>
      <c r="M195" s="182"/>
      <c r="N195" s="97" t="str">
        <f>IF([9]回答表!AD44="○","○","")</f>
        <v/>
      </c>
      <c r="O195" s="98"/>
      <c r="P195" s="98"/>
      <c r="Q195" s="99"/>
      <c r="R195" s="39"/>
      <c r="S195" s="39"/>
      <c r="T195" s="39"/>
      <c r="U195" s="106" t="str">
        <f>IF([9]回答表!AD44="○",[9]回答表!B296,"")</f>
        <v/>
      </c>
      <c r="V195" s="107"/>
      <c r="W195" s="107"/>
      <c r="X195" s="107"/>
      <c r="Y195" s="107"/>
      <c r="Z195" s="107"/>
      <c r="AA195" s="107"/>
      <c r="AB195" s="107"/>
      <c r="AC195" s="107"/>
      <c r="AD195" s="107"/>
      <c r="AE195" s="107"/>
      <c r="AF195" s="107"/>
      <c r="AG195" s="107"/>
      <c r="AH195" s="107"/>
      <c r="AI195" s="107"/>
      <c r="AJ195" s="108"/>
      <c r="AK195" s="61"/>
      <c r="AL195" s="61"/>
      <c r="AM195" s="106" t="str">
        <f>IF([9]回答表!AD44="○",[9]回答表!B302,"")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81"/>
      <c r="E196" s="181"/>
      <c r="F196" s="181"/>
      <c r="G196" s="181"/>
      <c r="H196" s="181"/>
      <c r="I196" s="181"/>
      <c r="J196" s="181"/>
      <c r="K196" s="181"/>
      <c r="L196" s="181"/>
      <c r="M196" s="182"/>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81"/>
      <c r="E197" s="181"/>
      <c r="F197" s="181"/>
      <c r="G197" s="181"/>
      <c r="H197" s="181"/>
      <c r="I197" s="181"/>
      <c r="J197" s="181"/>
      <c r="K197" s="181"/>
      <c r="L197" s="181"/>
      <c r="M197" s="182"/>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81"/>
      <c r="E198" s="181"/>
      <c r="F198" s="181"/>
      <c r="G198" s="181"/>
      <c r="H198" s="181"/>
      <c r="I198" s="181"/>
      <c r="J198" s="181"/>
      <c r="K198" s="181"/>
      <c r="L198" s="181"/>
      <c r="M198" s="182"/>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62"/>
      <c r="AS201" s="162"/>
      <c r="AT201" s="162"/>
      <c r="AU201" s="162"/>
      <c r="AV201" s="162"/>
      <c r="AW201" s="162"/>
      <c r="AX201" s="162"/>
      <c r="AY201" s="162"/>
      <c r="AZ201" s="162"/>
      <c r="BA201" s="162"/>
      <c r="BB201" s="162"/>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63"/>
      <c r="AS202" s="163"/>
      <c r="AT202" s="163"/>
      <c r="AU202" s="163"/>
      <c r="AV202" s="163"/>
      <c r="AW202" s="163"/>
      <c r="AX202" s="163"/>
      <c r="AY202" s="163"/>
      <c r="AZ202" s="163"/>
      <c r="BA202" s="163"/>
      <c r="BB202" s="163"/>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IF([9]回答表!X45="○","○","")</f>
        <v/>
      </c>
      <c r="O207" s="98"/>
      <c r="P207" s="98"/>
      <c r="Q207" s="99"/>
      <c r="R207" s="39"/>
      <c r="S207" s="39"/>
      <c r="T207" s="39"/>
      <c r="U207" s="106" t="str">
        <f>IF([9]回答表!X45="○",[9]回答表!B314,IF([9]回答表!AA45="○",[9]回答表!B337,""))</f>
        <v/>
      </c>
      <c r="V207" s="107"/>
      <c r="W207" s="107"/>
      <c r="X207" s="107"/>
      <c r="Y207" s="107"/>
      <c r="Z207" s="107"/>
      <c r="AA207" s="107"/>
      <c r="AB207" s="107"/>
      <c r="AC207" s="107"/>
      <c r="AD207" s="107"/>
      <c r="AE207" s="107"/>
      <c r="AF207" s="107"/>
      <c r="AG207" s="107"/>
      <c r="AH207" s="107"/>
      <c r="AI207" s="107"/>
      <c r="AJ207" s="108"/>
      <c r="AK207" s="50"/>
      <c r="AL207" s="50"/>
      <c r="AM207" s="50"/>
      <c r="AN207" s="106" t="str">
        <f>IF([9]回答表!X45="○",[9]回答表!B320,"")</f>
        <v/>
      </c>
      <c r="AO207" s="173"/>
      <c r="AP207" s="173"/>
      <c r="AQ207" s="173"/>
      <c r="AR207" s="173"/>
      <c r="AS207" s="173"/>
      <c r="AT207" s="173"/>
      <c r="AU207" s="173"/>
      <c r="AV207" s="173"/>
      <c r="AW207" s="173"/>
      <c r="AX207" s="173"/>
      <c r="AY207" s="173"/>
      <c r="AZ207" s="173"/>
      <c r="BA207" s="173"/>
      <c r="BB207" s="174"/>
      <c r="BC207" s="40"/>
      <c r="BD207" s="35"/>
      <c r="BE207" s="115" t="str">
        <f>IF([9]回答表!X45="○",[9]回答表!B326,IF([9]回答表!AA45="○",[9]回答表!B343,""))</f>
        <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75"/>
      <c r="AO208" s="176"/>
      <c r="AP208" s="176"/>
      <c r="AQ208" s="176"/>
      <c r="AR208" s="176"/>
      <c r="AS208" s="176"/>
      <c r="AT208" s="176"/>
      <c r="AU208" s="176"/>
      <c r="AV208" s="176"/>
      <c r="AW208" s="176"/>
      <c r="AX208" s="176"/>
      <c r="AY208" s="176"/>
      <c r="AZ208" s="176"/>
      <c r="BA208" s="176"/>
      <c r="BB208" s="177"/>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75"/>
      <c r="AO209" s="176"/>
      <c r="AP209" s="176"/>
      <c r="AQ209" s="176"/>
      <c r="AR209" s="176"/>
      <c r="AS209" s="176"/>
      <c r="AT209" s="176"/>
      <c r="AU209" s="176"/>
      <c r="AV209" s="176"/>
      <c r="AW209" s="176"/>
      <c r="AX209" s="176"/>
      <c r="AY209" s="176"/>
      <c r="AZ209" s="176"/>
      <c r="BA209" s="176"/>
      <c r="BB209" s="177"/>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75"/>
      <c r="AO210" s="176"/>
      <c r="AP210" s="176"/>
      <c r="AQ210" s="176"/>
      <c r="AR210" s="176"/>
      <c r="AS210" s="176"/>
      <c r="AT210" s="176"/>
      <c r="AU210" s="176"/>
      <c r="AV210" s="176"/>
      <c r="AW210" s="176"/>
      <c r="AX210" s="176"/>
      <c r="AY210" s="176"/>
      <c r="AZ210" s="176"/>
      <c r="BA210" s="176"/>
      <c r="BB210" s="177"/>
      <c r="BC210" s="40"/>
      <c r="BD210" s="35"/>
      <c r="BE210" s="82" t="str">
        <f>IF([9]回答表!X45="○",[9]回答表!E326,IF([9]回答表!AA45="○",[9]回答表!E343,""))</f>
        <v/>
      </c>
      <c r="BF210" s="83"/>
      <c r="BG210" s="83"/>
      <c r="BH210" s="83"/>
      <c r="BI210" s="82" t="str">
        <f>IF([9]回答表!X45="○",[9]回答表!E327,IF([9]回答表!AA45="○",[9]回答表!E344,""))</f>
        <v/>
      </c>
      <c r="BJ210" s="83"/>
      <c r="BK210" s="83"/>
      <c r="BL210" s="86"/>
      <c r="BM210" s="82" t="str">
        <f>IF([9]回答表!X45="○",[9]回答表!E328,IF([9]回答表!AA45="○",[9]回答表!E345,""))</f>
        <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75"/>
      <c r="AO211" s="176"/>
      <c r="AP211" s="176"/>
      <c r="AQ211" s="176"/>
      <c r="AR211" s="176"/>
      <c r="AS211" s="176"/>
      <c r="AT211" s="176"/>
      <c r="AU211" s="176"/>
      <c r="AV211" s="176"/>
      <c r="AW211" s="176"/>
      <c r="AX211" s="176"/>
      <c r="AY211" s="176"/>
      <c r="AZ211" s="176"/>
      <c r="BA211" s="176"/>
      <c r="BB211" s="177"/>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75"/>
      <c r="AO212" s="176"/>
      <c r="AP212" s="176"/>
      <c r="AQ212" s="176"/>
      <c r="AR212" s="176"/>
      <c r="AS212" s="176"/>
      <c r="AT212" s="176"/>
      <c r="AU212" s="176"/>
      <c r="AV212" s="176"/>
      <c r="AW212" s="176"/>
      <c r="AX212" s="176"/>
      <c r="AY212" s="176"/>
      <c r="AZ212" s="176"/>
      <c r="BA212" s="176"/>
      <c r="BB212" s="177"/>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IF([9]回答表!AA45="○","○","")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75"/>
      <c r="AO213" s="176"/>
      <c r="AP213" s="176"/>
      <c r="AQ213" s="176"/>
      <c r="AR213" s="176"/>
      <c r="AS213" s="176"/>
      <c r="AT213" s="176"/>
      <c r="AU213" s="176"/>
      <c r="AV213" s="176"/>
      <c r="AW213" s="176"/>
      <c r="AX213" s="176"/>
      <c r="AY213" s="176"/>
      <c r="AZ213" s="176"/>
      <c r="BA213" s="176"/>
      <c r="BB213" s="177"/>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75"/>
      <c r="AO214" s="176"/>
      <c r="AP214" s="176"/>
      <c r="AQ214" s="176"/>
      <c r="AR214" s="176"/>
      <c r="AS214" s="176"/>
      <c r="AT214" s="176"/>
      <c r="AU214" s="176"/>
      <c r="AV214" s="176"/>
      <c r="AW214" s="176"/>
      <c r="AX214" s="176"/>
      <c r="AY214" s="176"/>
      <c r="AZ214" s="176"/>
      <c r="BA214" s="176"/>
      <c r="BB214" s="177"/>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75"/>
      <c r="AO215" s="176"/>
      <c r="AP215" s="176"/>
      <c r="AQ215" s="176"/>
      <c r="AR215" s="176"/>
      <c r="AS215" s="176"/>
      <c r="AT215" s="176"/>
      <c r="AU215" s="176"/>
      <c r="AV215" s="176"/>
      <c r="AW215" s="176"/>
      <c r="AX215" s="176"/>
      <c r="AY215" s="176"/>
      <c r="AZ215" s="176"/>
      <c r="BA215" s="176"/>
      <c r="BB215" s="177"/>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78"/>
      <c r="AO216" s="179"/>
      <c r="AP216" s="179"/>
      <c r="AQ216" s="179"/>
      <c r="AR216" s="179"/>
      <c r="AS216" s="179"/>
      <c r="AT216" s="179"/>
      <c r="AU216" s="179"/>
      <c r="AV216" s="179"/>
      <c r="AW216" s="179"/>
      <c r="AX216" s="179"/>
      <c r="AY216" s="179"/>
      <c r="AZ216" s="179"/>
      <c r="BA216" s="179"/>
      <c r="BB216" s="180"/>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IF([9]回答表!AD45="○","○","")</f>
        <v/>
      </c>
      <c r="O219" s="98"/>
      <c r="P219" s="98"/>
      <c r="Q219" s="99"/>
      <c r="R219" s="39"/>
      <c r="S219" s="39"/>
      <c r="T219" s="39"/>
      <c r="U219" s="106" t="str">
        <f>IF([9]回答表!AD45="○",[9]回答表!B350,"")</f>
        <v/>
      </c>
      <c r="V219" s="107"/>
      <c r="W219" s="107"/>
      <c r="X219" s="107"/>
      <c r="Y219" s="107"/>
      <c r="Z219" s="107"/>
      <c r="AA219" s="107"/>
      <c r="AB219" s="107"/>
      <c r="AC219" s="107"/>
      <c r="AD219" s="107"/>
      <c r="AE219" s="107"/>
      <c r="AF219" s="107"/>
      <c r="AG219" s="107"/>
      <c r="AH219" s="107"/>
      <c r="AI219" s="107"/>
      <c r="AJ219" s="108"/>
      <c r="AK219" s="61"/>
      <c r="AL219" s="61"/>
      <c r="AM219" s="106" t="str">
        <f>IF([9]回答表!AD45="○",[9]回答表!B356,"")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62"/>
      <c r="AS225" s="162"/>
      <c r="AT225" s="162"/>
      <c r="AU225" s="162"/>
      <c r="AV225" s="162"/>
      <c r="AW225" s="162"/>
      <c r="AX225" s="162"/>
      <c r="AY225" s="162"/>
      <c r="AZ225" s="162"/>
      <c r="BA225" s="162"/>
      <c r="BB225" s="162"/>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63"/>
      <c r="AS226" s="163"/>
      <c r="AT226" s="163"/>
      <c r="AU226" s="163"/>
      <c r="AV226" s="163"/>
      <c r="AW226" s="163"/>
      <c r="AX226" s="163"/>
      <c r="AY226" s="163"/>
      <c r="AZ226" s="163"/>
      <c r="BA226" s="163"/>
      <c r="BB226" s="163"/>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IF([9]回答表!X46="○","○","")</f>
        <v/>
      </c>
      <c r="O231" s="98"/>
      <c r="P231" s="98"/>
      <c r="Q231" s="99"/>
      <c r="R231" s="39"/>
      <c r="S231" s="39"/>
      <c r="T231" s="39"/>
      <c r="U231" s="106" t="str">
        <f>IF([9]回答表!X46="○",[9]回答表!B368,IF([9]回答表!AA46="○",[9]回答表!B382,""))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IF([9]回答表!X46="○",[9]回答表!BC375,IF([9]回答表!AA46="○",[9]回答表!BC389,""))</f>
        <v/>
      </c>
      <c r="AR231" s="150"/>
      <c r="AS231" s="150"/>
      <c r="AT231" s="150"/>
      <c r="AU231" s="164" t="s">
        <v>63</v>
      </c>
      <c r="AV231" s="165"/>
      <c r="AW231" s="165"/>
      <c r="AX231" s="166"/>
      <c r="AY231" s="150" t="str">
        <f>IF([9]回答表!X46="○",[9]回答表!BC380,IF([9]回答表!AA46="○",[9]回答表!BC394,""))</f>
        <v/>
      </c>
      <c r="AZ231" s="150"/>
      <c r="BA231" s="150"/>
      <c r="BB231" s="150"/>
      <c r="BC231" s="40"/>
      <c r="BD231" s="35"/>
      <c r="BE231" s="115" t="str">
        <f>IF([9]回答表!X46="○",[9]回答表!S374,IF([9]回答表!AA46="○",[9]回答表!S388,""))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67"/>
      <c r="AV232" s="168"/>
      <c r="AW232" s="168"/>
      <c r="AX232" s="169"/>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IF([9]回答表!X46="○",[9]回答表!BC376,IF([9]回答表!AA46="○",[9]回答表!BC390,""))</f>
        <v/>
      </c>
      <c r="AR233" s="150"/>
      <c r="AS233" s="150"/>
      <c r="AT233" s="150"/>
      <c r="AU233" s="167"/>
      <c r="AV233" s="168"/>
      <c r="AW233" s="168"/>
      <c r="AX233" s="169"/>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67"/>
      <c r="AV234" s="168"/>
      <c r="AW234" s="168"/>
      <c r="AX234" s="169"/>
      <c r="AY234" s="150"/>
      <c r="AZ234" s="150"/>
      <c r="BA234" s="150"/>
      <c r="BB234" s="150"/>
      <c r="BC234" s="40"/>
      <c r="BD234" s="35"/>
      <c r="BE234" s="82" t="str">
        <f>IF([9]回答表!X46="○",[9]回答表!V374,IF([9]回答表!AA46="○",[9]回答表!V388,""))</f>
        <v/>
      </c>
      <c r="BF234" s="83"/>
      <c r="BG234" s="83"/>
      <c r="BH234" s="83"/>
      <c r="BI234" s="82" t="str">
        <f>IF([9]回答表!X46="○",[9]回答表!V375,IF([9]回答表!AA46="○",[9]回答表!V389,""))</f>
        <v/>
      </c>
      <c r="BJ234" s="83"/>
      <c r="BK234" s="83"/>
      <c r="BL234" s="86"/>
      <c r="BM234" s="82" t="str">
        <f>IF([9]回答表!X46="○",[9]回答表!V376,IF([9]回答表!AA46="○",[9]回答表!V390,""))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IF([9]回答表!X46="○",[9]回答表!BC377,IF([9]回答表!AA46="○",[9]回答表!BC391,""))</f>
        <v/>
      </c>
      <c r="AR235" s="150"/>
      <c r="AS235" s="150"/>
      <c r="AT235" s="150"/>
      <c r="AU235" s="170"/>
      <c r="AV235" s="171"/>
      <c r="AW235" s="171"/>
      <c r="AX235" s="172"/>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60" t="str">
        <f>IF([9]回答表!X46="○",[9]回答表!BC381,IF([9]回答表!AA46="○",[9]回答表!BC395,""))</f>
        <v/>
      </c>
      <c r="AZ236" s="160"/>
      <c r="BA236" s="160"/>
      <c r="BB236" s="160"/>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IF([9]回答表!AA46="○","○","")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61" t="str">
        <f>IF([9]回答表!X46="○",[9]回答表!BC378,IF([9]回答表!AA46="○",[9]回答表!BC392,""))</f>
        <v/>
      </c>
      <c r="AR237" s="150"/>
      <c r="AS237" s="150"/>
      <c r="AT237" s="150"/>
      <c r="AU237" s="149"/>
      <c r="AV237" s="149"/>
      <c r="AW237" s="149"/>
      <c r="AX237" s="149"/>
      <c r="AY237" s="160"/>
      <c r="AZ237" s="160"/>
      <c r="BA237" s="160"/>
      <c r="BB237" s="160"/>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60"/>
      <c r="AZ238" s="160"/>
      <c r="BA238" s="160"/>
      <c r="BB238" s="160"/>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IF([9]回答表!X46="○",[9]回答表!BC379,IF([9]回答表!AA46="○",[9]回答表!BC393,""))</f>
        <v/>
      </c>
      <c r="AR239" s="150"/>
      <c r="AS239" s="150"/>
      <c r="AT239" s="150"/>
      <c r="AU239" s="149"/>
      <c r="AV239" s="149"/>
      <c r="AW239" s="149"/>
      <c r="AX239" s="149"/>
      <c r="AY239" s="160"/>
      <c r="AZ239" s="160"/>
      <c r="BA239" s="160"/>
      <c r="BB239" s="160"/>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60"/>
      <c r="AZ240" s="160"/>
      <c r="BA240" s="160"/>
      <c r="BB240" s="160"/>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IF([9]回答表!AD46="○","○","")</f>
        <v/>
      </c>
      <c r="O243" s="98"/>
      <c r="P243" s="98"/>
      <c r="Q243" s="99"/>
      <c r="R243" s="39"/>
      <c r="S243" s="39"/>
      <c r="T243" s="39"/>
      <c r="U243" s="106" t="str">
        <f>IF([9]回答表!AD46="○",[9]回答表!B396,"")</f>
        <v/>
      </c>
      <c r="V243" s="107"/>
      <c r="W243" s="107"/>
      <c r="X243" s="107"/>
      <c r="Y243" s="107"/>
      <c r="Z243" s="107"/>
      <c r="AA243" s="107"/>
      <c r="AB243" s="107"/>
      <c r="AC243" s="107"/>
      <c r="AD243" s="107"/>
      <c r="AE243" s="107"/>
      <c r="AF243" s="107"/>
      <c r="AG243" s="107"/>
      <c r="AH243" s="107"/>
      <c r="AI243" s="107"/>
      <c r="AJ243" s="108"/>
      <c r="AK243" s="56"/>
      <c r="AL243" s="56"/>
      <c r="AM243" s="106" t="str">
        <f>IF([9]回答表!AD46="○",[9]回答表!B402,"")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IF([9]回答表!X47="○","○","")</f>
        <v/>
      </c>
      <c r="O254" s="98"/>
      <c r="P254" s="98"/>
      <c r="Q254" s="99"/>
      <c r="R254" s="39"/>
      <c r="S254" s="39"/>
      <c r="T254" s="39"/>
      <c r="U254" s="106" t="str">
        <f>IF([9]回答表!X47="○",[9]回答表!B414,IF([9]回答表!AA47="○",[9]回答表!B431,""))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IF([9]回答表!X47="○",[9]回答表!B424,IF([9]回答表!AA47="○",[9]回答表!B441,""))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IF([9]回答表!X47="○",[9]回答表!G420,IF([9]回答表!AA47="○",[9]回答表!G437,""))</f>
        <v/>
      </c>
      <c r="AN256" s="119"/>
      <c r="AO256" s="119"/>
      <c r="AP256" s="119"/>
      <c r="AQ256" s="119"/>
      <c r="AR256" s="119"/>
      <c r="AS256" s="119"/>
      <c r="AT256" s="120"/>
      <c r="AU256" s="118" t="str">
        <f>IF([9]回答表!X47="○",[9]回答表!G421,IF([9]回答表!AA47="○",[9]回答表!G438,""))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IF([9]回答表!X47="○",[9]回答表!E424,IF([9]回答表!AA47="○",[9]回答表!E441,""))</f>
        <v/>
      </c>
      <c r="BF257" s="83"/>
      <c r="BG257" s="83"/>
      <c r="BH257" s="83"/>
      <c r="BI257" s="82" t="str">
        <f>IF([9]回答表!X47="○",[9]回答表!E425,IF([9]回答表!AA47="○",[9]回答表!E442,""))</f>
        <v/>
      </c>
      <c r="BJ257" s="83"/>
      <c r="BK257" s="83"/>
      <c r="BL257" s="86"/>
      <c r="BM257" s="82" t="str">
        <f>IF([9]回答表!X47="○",[9]回答表!E426,IF([9]回答表!AA47="○",[9]回答表!E443,""))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IF([9]回答表!AA47="○","○","")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IF([9]回答表!AD47="○","○","")</f>
        <v/>
      </c>
      <c r="O266" s="98"/>
      <c r="P266" s="98"/>
      <c r="Q266" s="99"/>
      <c r="R266" s="39"/>
      <c r="S266" s="39"/>
      <c r="T266" s="39"/>
      <c r="U266" s="106" t="str">
        <f>IF([9]回答表!AD47="○",[9]回答表!B448,"")</f>
        <v/>
      </c>
      <c r="V266" s="107"/>
      <c r="W266" s="107"/>
      <c r="X266" s="107"/>
      <c r="Y266" s="107"/>
      <c r="Z266" s="107"/>
      <c r="AA266" s="107"/>
      <c r="AB266" s="107"/>
      <c r="AC266" s="107"/>
      <c r="AD266" s="107"/>
      <c r="AE266" s="107"/>
      <c r="AF266" s="107"/>
      <c r="AG266" s="107"/>
      <c r="AH266" s="107"/>
      <c r="AI266" s="107"/>
      <c r="AJ266" s="108"/>
      <c r="AK266" s="50"/>
      <c r="AL266" s="50"/>
      <c r="AM266" s="106" t="str">
        <f>IF([9]回答表!AD47="○",[9]回答表!B454,"")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IF([9]回答表!R48="○",[9]回答表!B467,"")</f>
        <v>現行の経営体制・手法で健全な事業運営が実施できているため大きな改革の予定はなし。
今後の方向性
①専門的な知識や技術を持った人材の育成とその知識や技術を継承していくために研修等を実施し、安全性を強化する。
②逓減型従量制料金制度による安価な料金体制を継続することで企業誘致に貢献し、収益の増加を図る。</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2"/>
  <conditionalFormatting sqref="A29:XFD30 A28:BI28 BR28:XFD28">
    <cfRule type="expression" dxfId="11"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1032C-41AE-4753-AF86-906F328A9630}">
  <sheetPr>
    <pageSetUpPr fitToPage="1"/>
  </sheetPr>
  <dimension ref="A1:CE298"/>
  <sheetViews>
    <sheetView showZeros="0" zoomScale="55" zoomScaleNormal="55" workbookViewId="0">
      <selection activeCell="CA248" sqref="CA248"/>
    </sheetView>
  </sheetViews>
  <sheetFormatPr defaultColWidth="2.875" defaultRowHeight="12.6" customHeight="1" x14ac:dyDescent="0.4"/>
  <cols>
    <col min="1" max="70" width="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63" t="s">
        <v>0</v>
      </c>
      <c r="D8" s="264"/>
      <c r="E8" s="264"/>
      <c r="F8" s="264"/>
      <c r="G8" s="264"/>
      <c r="H8" s="264"/>
      <c r="I8" s="264"/>
      <c r="J8" s="264"/>
      <c r="K8" s="264"/>
      <c r="L8" s="264"/>
      <c r="M8" s="264"/>
      <c r="N8" s="264"/>
      <c r="O8" s="264"/>
      <c r="P8" s="264"/>
      <c r="Q8" s="264"/>
      <c r="R8" s="264"/>
      <c r="S8" s="264"/>
      <c r="T8" s="264"/>
      <c r="U8" s="265" t="s">
        <v>1</v>
      </c>
      <c r="V8" s="266"/>
      <c r="W8" s="266"/>
      <c r="X8" s="266"/>
      <c r="Y8" s="266"/>
      <c r="Z8" s="266"/>
      <c r="AA8" s="266"/>
      <c r="AB8" s="266"/>
      <c r="AC8" s="266"/>
      <c r="AD8" s="266"/>
      <c r="AE8" s="266"/>
      <c r="AF8" s="266"/>
      <c r="AG8" s="266"/>
      <c r="AH8" s="266"/>
      <c r="AI8" s="266"/>
      <c r="AJ8" s="266"/>
      <c r="AK8" s="266"/>
      <c r="AL8" s="266"/>
      <c r="AM8" s="266"/>
      <c r="AN8" s="267"/>
      <c r="AO8" s="268" t="s">
        <v>2</v>
      </c>
      <c r="AP8" s="266"/>
      <c r="AQ8" s="266"/>
      <c r="AR8" s="266"/>
      <c r="AS8" s="266"/>
      <c r="AT8" s="266"/>
      <c r="AU8" s="266"/>
      <c r="AV8" s="266"/>
      <c r="AW8" s="266"/>
      <c r="AX8" s="266"/>
      <c r="AY8" s="266"/>
      <c r="AZ8" s="266"/>
      <c r="BA8" s="266"/>
      <c r="BB8" s="266"/>
      <c r="BC8" s="266"/>
      <c r="BD8" s="266"/>
      <c r="BE8" s="267"/>
      <c r="BF8" s="263" t="s">
        <v>3</v>
      </c>
      <c r="BG8" s="269"/>
      <c r="BH8" s="269"/>
      <c r="BI8" s="269"/>
      <c r="BJ8" s="269"/>
      <c r="BK8" s="269"/>
      <c r="BL8" s="269"/>
      <c r="BM8" s="269"/>
      <c r="BN8" s="269"/>
      <c r="BO8" s="269"/>
      <c r="BP8" s="269"/>
      <c r="BQ8" s="8"/>
    </row>
    <row r="9" spans="3:70" ht="15.6" customHeight="1" x14ac:dyDescent="0.4">
      <c r="C9" s="264"/>
      <c r="D9" s="264"/>
      <c r="E9" s="264"/>
      <c r="F9" s="264"/>
      <c r="G9" s="264"/>
      <c r="H9" s="264"/>
      <c r="I9" s="264"/>
      <c r="J9" s="264"/>
      <c r="K9" s="264"/>
      <c r="L9" s="264"/>
      <c r="M9" s="264"/>
      <c r="N9" s="264"/>
      <c r="O9" s="264"/>
      <c r="P9" s="264"/>
      <c r="Q9" s="264"/>
      <c r="R9" s="264"/>
      <c r="S9" s="264"/>
      <c r="T9" s="264"/>
      <c r="U9" s="219"/>
      <c r="V9" s="217"/>
      <c r="W9" s="217"/>
      <c r="X9" s="217"/>
      <c r="Y9" s="217"/>
      <c r="Z9" s="217"/>
      <c r="AA9" s="217"/>
      <c r="AB9" s="217"/>
      <c r="AC9" s="217"/>
      <c r="AD9" s="217"/>
      <c r="AE9" s="217"/>
      <c r="AF9" s="217"/>
      <c r="AG9" s="217"/>
      <c r="AH9" s="217"/>
      <c r="AI9" s="217"/>
      <c r="AJ9" s="217"/>
      <c r="AK9" s="217"/>
      <c r="AL9" s="217"/>
      <c r="AM9" s="217"/>
      <c r="AN9" s="218"/>
      <c r="AO9" s="219"/>
      <c r="AP9" s="217"/>
      <c r="AQ9" s="217"/>
      <c r="AR9" s="217"/>
      <c r="AS9" s="217"/>
      <c r="AT9" s="217"/>
      <c r="AU9" s="217"/>
      <c r="AV9" s="217"/>
      <c r="AW9" s="217"/>
      <c r="AX9" s="217"/>
      <c r="AY9" s="217"/>
      <c r="AZ9" s="217"/>
      <c r="BA9" s="217"/>
      <c r="BB9" s="217"/>
      <c r="BC9" s="217"/>
      <c r="BD9" s="217"/>
      <c r="BE9" s="218"/>
      <c r="BF9" s="269"/>
      <c r="BG9" s="269"/>
      <c r="BH9" s="269"/>
      <c r="BI9" s="269"/>
      <c r="BJ9" s="269"/>
      <c r="BK9" s="269"/>
      <c r="BL9" s="269"/>
      <c r="BM9" s="269"/>
      <c r="BN9" s="269"/>
      <c r="BO9" s="269"/>
      <c r="BP9" s="269"/>
      <c r="BQ9" s="8"/>
    </row>
    <row r="10" spans="3:70" ht="15.6" customHeight="1" x14ac:dyDescent="0.4">
      <c r="C10" s="264"/>
      <c r="D10" s="264"/>
      <c r="E10" s="264"/>
      <c r="F10" s="264"/>
      <c r="G10" s="264"/>
      <c r="H10" s="264"/>
      <c r="I10" s="264"/>
      <c r="J10" s="264"/>
      <c r="K10" s="264"/>
      <c r="L10" s="264"/>
      <c r="M10" s="264"/>
      <c r="N10" s="264"/>
      <c r="O10" s="264"/>
      <c r="P10" s="264"/>
      <c r="Q10" s="264"/>
      <c r="R10" s="264"/>
      <c r="S10" s="264"/>
      <c r="T10" s="264"/>
      <c r="U10" s="220"/>
      <c r="V10" s="221"/>
      <c r="W10" s="221"/>
      <c r="X10" s="221"/>
      <c r="Y10" s="221"/>
      <c r="Z10" s="221"/>
      <c r="AA10" s="221"/>
      <c r="AB10" s="221"/>
      <c r="AC10" s="221"/>
      <c r="AD10" s="221"/>
      <c r="AE10" s="221"/>
      <c r="AF10" s="221"/>
      <c r="AG10" s="221"/>
      <c r="AH10" s="221"/>
      <c r="AI10" s="221"/>
      <c r="AJ10" s="221"/>
      <c r="AK10" s="221"/>
      <c r="AL10" s="221"/>
      <c r="AM10" s="221"/>
      <c r="AN10" s="222"/>
      <c r="AO10" s="220"/>
      <c r="AP10" s="221"/>
      <c r="AQ10" s="221"/>
      <c r="AR10" s="221"/>
      <c r="AS10" s="221"/>
      <c r="AT10" s="221"/>
      <c r="AU10" s="221"/>
      <c r="AV10" s="221"/>
      <c r="AW10" s="221"/>
      <c r="AX10" s="221"/>
      <c r="AY10" s="221"/>
      <c r="AZ10" s="221"/>
      <c r="BA10" s="221"/>
      <c r="BB10" s="221"/>
      <c r="BC10" s="221"/>
      <c r="BD10" s="221"/>
      <c r="BE10" s="222"/>
      <c r="BF10" s="269"/>
      <c r="BG10" s="269"/>
      <c r="BH10" s="269"/>
      <c r="BI10" s="269"/>
      <c r="BJ10" s="269"/>
      <c r="BK10" s="269"/>
      <c r="BL10" s="269"/>
      <c r="BM10" s="269"/>
      <c r="BN10" s="269"/>
      <c r="BO10" s="269"/>
      <c r="BP10" s="269"/>
      <c r="BQ10" s="8"/>
    </row>
    <row r="11" spans="3:70" ht="15.6" customHeight="1" x14ac:dyDescent="0.4">
      <c r="C11" s="270" t="str">
        <f>IF(COUNTIF([13]回答表!K15,"*")&gt;0,[13]回答表!K15,"")</f>
        <v>大館市</v>
      </c>
      <c r="D11" s="264"/>
      <c r="E11" s="264"/>
      <c r="F11" s="264"/>
      <c r="G11" s="264"/>
      <c r="H11" s="264"/>
      <c r="I11" s="264"/>
      <c r="J11" s="264"/>
      <c r="K11" s="264"/>
      <c r="L11" s="264"/>
      <c r="M11" s="264"/>
      <c r="N11" s="264"/>
      <c r="O11" s="264"/>
      <c r="P11" s="264"/>
      <c r="Q11" s="264"/>
      <c r="R11" s="264"/>
      <c r="S11" s="264"/>
      <c r="T11" s="264"/>
      <c r="U11" s="271" t="str">
        <f>IF(COUNTIF([13]回答表!F17,"*")&gt;0,[13]回答表!F17,"")</f>
        <v>病院事業</v>
      </c>
      <c r="V11" s="272"/>
      <c r="W11" s="272"/>
      <c r="X11" s="272"/>
      <c r="Y11" s="272"/>
      <c r="Z11" s="272"/>
      <c r="AA11" s="272"/>
      <c r="AB11" s="272"/>
      <c r="AC11" s="272"/>
      <c r="AD11" s="272"/>
      <c r="AE11" s="272"/>
      <c r="AF11" s="266"/>
      <c r="AG11" s="266"/>
      <c r="AH11" s="266"/>
      <c r="AI11" s="266"/>
      <c r="AJ11" s="266"/>
      <c r="AK11" s="266"/>
      <c r="AL11" s="266"/>
      <c r="AM11" s="266"/>
      <c r="AN11" s="267"/>
      <c r="AO11" s="277" t="str">
        <f>IF(COUNTIF([13]回答表!W17,"*")&gt;0,[13]回答表!W17,"")</f>
        <v>―</v>
      </c>
      <c r="AP11" s="266"/>
      <c r="AQ11" s="266"/>
      <c r="AR11" s="266"/>
      <c r="AS11" s="266"/>
      <c r="AT11" s="266"/>
      <c r="AU11" s="266"/>
      <c r="AV11" s="266"/>
      <c r="AW11" s="266"/>
      <c r="AX11" s="266"/>
      <c r="AY11" s="266"/>
      <c r="AZ11" s="266"/>
      <c r="BA11" s="266"/>
      <c r="BB11" s="266"/>
      <c r="BC11" s="266"/>
      <c r="BD11" s="266"/>
      <c r="BE11" s="267"/>
      <c r="BF11" s="270" t="str">
        <f>IF(COUNTIF([13]回答表!F19,"*")&gt;0,[13]回答表!F19,"")</f>
        <v>ー</v>
      </c>
      <c r="BG11" s="269"/>
      <c r="BH11" s="269"/>
      <c r="BI11" s="269"/>
      <c r="BJ11" s="269"/>
      <c r="BK11" s="269"/>
      <c r="BL11" s="269"/>
      <c r="BM11" s="269"/>
      <c r="BN11" s="269"/>
      <c r="BO11" s="269"/>
      <c r="BP11" s="269"/>
      <c r="BQ11" s="6"/>
    </row>
    <row r="12" spans="3:70" ht="15.6" customHeight="1" x14ac:dyDescent="0.4">
      <c r="C12" s="264"/>
      <c r="D12" s="264"/>
      <c r="E12" s="264"/>
      <c r="F12" s="264"/>
      <c r="G12" s="264"/>
      <c r="H12" s="264"/>
      <c r="I12" s="264"/>
      <c r="J12" s="264"/>
      <c r="K12" s="264"/>
      <c r="L12" s="264"/>
      <c r="M12" s="264"/>
      <c r="N12" s="264"/>
      <c r="O12" s="264"/>
      <c r="P12" s="264"/>
      <c r="Q12" s="264"/>
      <c r="R12" s="264"/>
      <c r="S12" s="264"/>
      <c r="T12" s="264"/>
      <c r="U12" s="273"/>
      <c r="V12" s="274"/>
      <c r="W12" s="274"/>
      <c r="X12" s="274"/>
      <c r="Y12" s="274"/>
      <c r="Z12" s="274"/>
      <c r="AA12" s="274"/>
      <c r="AB12" s="274"/>
      <c r="AC12" s="274"/>
      <c r="AD12" s="274"/>
      <c r="AE12" s="274"/>
      <c r="AF12" s="217"/>
      <c r="AG12" s="217"/>
      <c r="AH12" s="217"/>
      <c r="AI12" s="217"/>
      <c r="AJ12" s="217"/>
      <c r="AK12" s="217"/>
      <c r="AL12" s="217"/>
      <c r="AM12" s="217"/>
      <c r="AN12" s="218"/>
      <c r="AO12" s="219"/>
      <c r="AP12" s="217"/>
      <c r="AQ12" s="217"/>
      <c r="AR12" s="217"/>
      <c r="AS12" s="217"/>
      <c r="AT12" s="217"/>
      <c r="AU12" s="217"/>
      <c r="AV12" s="217"/>
      <c r="AW12" s="217"/>
      <c r="AX12" s="217"/>
      <c r="AY12" s="217"/>
      <c r="AZ12" s="217"/>
      <c r="BA12" s="217"/>
      <c r="BB12" s="217"/>
      <c r="BC12" s="217"/>
      <c r="BD12" s="217"/>
      <c r="BE12" s="218"/>
      <c r="BF12" s="269"/>
      <c r="BG12" s="269"/>
      <c r="BH12" s="269"/>
      <c r="BI12" s="269"/>
      <c r="BJ12" s="269"/>
      <c r="BK12" s="269"/>
      <c r="BL12" s="269"/>
      <c r="BM12" s="269"/>
      <c r="BN12" s="269"/>
      <c r="BO12" s="269"/>
      <c r="BP12" s="269"/>
      <c r="BQ12" s="6"/>
    </row>
    <row r="13" spans="3:70" ht="15.6" customHeight="1" x14ac:dyDescent="0.4">
      <c r="C13" s="264"/>
      <c r="D13" s="264"/>
      <c r="E13" s="264"/>
      <c r="F13" s="264"/>
      <c r="G13" s="264"/>
      <c r="H13" s="264"/>
      <c r="I13" s="264"/>
      <c r="J13" s="264"/>
      <c r="K13" s="264"/>
      <c r="L13" s="264"/>
      <c r="M13" s="264"/>
      <c r="N13" s="264"/>
      <c r="O13" s="264"/>
      <c r="P13" s="264"/>
      <c r="Q13" s="264"/>
      <c r="R13" s="264"/>
      <c r="S13" s="264"/>
      <c r="T13" s="264"/>
      <c r="U13" s="275"/>
      <c r="V13" s="276"/>
      <c r="W13" s="276"/>
      <c r="X13" s="276"/>
      <c r="Y13" s="276"/>
      <c r="Z13" s="276"/>
      <c r="AA13" s="276"/>
      <c r="AB13" s="276"/>
      <c r="AC13" s="276"/>
      <c r="AD13" s="276"/>
      <c r="AE13" s="276"/>
      <c r="AF13" s="221"/>
      <c r="AG13" s="221"/>
      <c r="AH13" s="221"/>
      <c r="AI13" s="221"/>
      <c r="AJ13" s="221"/>
      <c r="AK13" s="221"/>
      <c r="AL13" s="221"/>
      <c r="AM13" s="221"/>
      <c r="AN13" s="222"/>
      <c r="AO13" s="220"/>
      <c r="AP13" s="221"/>
      <c r="AQ13" s="221"/>
      <c r="AR13" s="221"/>
      <c r="AS13" s="221"/>
      <c r="AT13" s="221"/>
      <c r="AU13" s="221"/>
      <c r="AV13" s="221"/>
      <c r="AW13" s="221"/>
      <c r="AX13" s="221"/>
      <c r="AY13" s="221"/>
      <c r="AZ13" s="221"/>
      <c r="BA13" s="221"/>
      <c r="BB13" s="221"/>
      <c r="BC13" s="221"/>
      <c r="BD13" s="221"/>
      <c r="BE13" s="222"/>
      <c r="BF13" s="269"/>
      <c r="BG13" s="269"/>
      <c r="BH13" s="269"/>
      <c r="BI13" s="269"/>
      <c r="BJ13" s="269"/>
      <c r="BK13" s="269"/>
      <c r="BL13" s="269"/>
      <c r="BM13" s="269"/>
      <c r="BN13" s="269"/>
      <c r="BO13" s="269"/>
      <c r="BP13" s="269"/>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30" t="s">
        <v>4</v>
      </c>
      <c r="E18" s="231"/>
      <c r="F18" s="231"/>
      <c r="G18" s="231"/>
      <c r="H18" s="231"/>
      <c r="I18" s="231"/>
      <c r="J18" s="231"/>
      <c r="K18" s="231"/>
      <c r="L18" s="231"/>
      <c r="M18" s="231"/>
      <c r="N18" s="231"/>
      <c r="O18" s="231"/>
      <c r="P18" s="231"/>
      <c r="Q18" s="231"/>
      <c r="R18" s="231"/>
      <c r="S18" s="231"/>
      <c r="T18" s="231"/>
      <c r="U18" s="231"/>
      <c r="V18" s="231"/>
      <c r="W18" s="231"/>
      <c r="X18" s="231"/>
      <c r="Y18" s="231"/>
      <c r="Z18" s="231"/>
      <c r="AA18" s="231"/>
      <c r="AB18" s="231"/>
      <c r="AC18" s="231"/>
      <c r="AD18" s="231"/>
      <c r="AE18" s="231"/>
      <c r="AF18" s="231"/>
      <c r="AG18" s="231"/>
      <c r="AH18" s="231"/>
      <c r="AI18" s="231"/>
      <c r="AJ18" s="231"/>
      <c r="AK18" s="231"/>
      <c r="AL18" s="231"/>
      <c r="AM18" s="231"/>
      <c r="AN18" s="231"/>
      <c r="AO18" s="231"/>
      <c r="AP18" s="231"/>
      <c r="AQ18" s="231"/>
      <c r="AR18" s="231"/>
      <c r="AS18" s="231"/>
      <c r="AT18" s="231"/>
      <c r="AU18" s="231"/>
      <c r="AV18" s="231"/>
      <c r="AW18" s="231"/>
      <c r="AX18" s="231"/>
      <c r="AY18" s="231"/>
      <c r="AZ18" s="232"/>
      <c r="BA18" s="15"/>
      <c r="BB18" s="15"/>
      <c r="BC18" s="15"/>
      <c r="BD18" s="15"/>
      <c r="BE18" s="15"/>
      <c r="BF18" s="15"/>
      <c r="BG18" s="15"/>
      <c r="BH18" s="15"/>
      <c r="BI18" s="15"/>
      <c r="BJ18" s="15"/>
      <c r="BK18" s="16"/>
      <c r="BR18" s="13"/>
    </row>
    <row r="19" spans="3:83" ht="15.6" customHeight="1" x14ac:dyDescent="0.4">
      <c r="C19" s="14"/>
      <c r="D19" s="233"/>
      <c r="E19" s="234"/>
      <c r="F19" s="234"/>
      <c r="G19" s="234"/>
      <c r="H19" s="234"/>
      <c r="I19" s="234"/>
      <c r="J19" s="234"/>
      <c r="K19" s="234"/>
      <c r="L19" s="234"/>
      <c r="M19" s="234"/>
      <c r="N19" s="234"/>
      <c r="O19" s="234"/>
      <c r="P19" s="234"/>
      <c r="Q19" s="234"/>
      <c r="R19" s="234"/>
      <c r="S19" s="234"/>
      <c r="T19" s="234"/>
      <c r="U19" s="234"/>
      <c r="V19" s="234"/>
      <c r="W19" s="234"/>
      <c r="X19" s="234"/>
      <c r="Y19" s="234"/>
      <c r="Z19" s="234"/>
      <c r="AA19" s="234"/>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5"/>
      <c r="BA19" s="15"/>
      <c r="BB19" s="15"/>
      <c r="BC19" s="15"/>
      <c r="BD19" s="15"/>
      <c r="BE19" s="15"/>
      <c r="BF19" s="15"/>
      <c r="BG19" s="15"/>
      <c r="BH19" s="15"/>
      <c r="BI19" s="15"/>
      <c r="BJ19" s="15"/>
      <c r="BK19" s="16"/>
      <c r="BR19" s="13"/>
    </row>
    <row r="20" spans="3:83" ht="13.35" customHeight="1" x14ac:dyDescent="0.4">
      <c r="C20" s="14"/>
      <c r="D20" s="236" t="s">
        <v>5</v>
      </c>
      <c r="E20" s="237"/>
      <c r="F20" s="237"/>
      <c r="G20" s="237"/>
      <c r="H20" s="237"/>
      <c r="I20" s="237"/>
      <c r="J20" s="238"/>
      <c r="K20" s="236" t="s">
        <v>6</v>
      </c>
      <c r="L20" s="237"/>
      <c r="M20" s="237"/>
      <c r="N20" s="237"/>
      <c r="O20" s="237"/>
      <c r="P20" s="237"/>
      <c r="Q20" s="238"/>
      <c r="R20" s="236" t="s">
        <v>7</v>
      </c>
      <c r="S20" s="237"/>
      <c r="T20" s="237"/>
      <c r="U20" s="237"/>
      <c r="V20" s="237"/>
      <c r="W20" s="237"/>
      <c r="X20" s="238"/>
      <c r="Y20" s="245" t="s">
        <v>8</v>
      </c>
      <c r="Z20" s="246"/>
      <c r="AA20" s="246"/>
      <c r="AB20" s="246"/>
      <c r="AC20" s="246"/>
      <c r="AD20" s="246"/>
      <c r="AE20" s="246"/>
      <c r="AF20" s="246"/>
      <c r="AG20" s="246"/>
      <c r="AH20" s="246"/>
      <c r="AI20" s="246"/>
      <c r="AJ20" s="246"/>
      <c r="AK20" s="246"/>
      <c r="AL20" s="246"/>
      <c r="AM20" s="246"/>
      <c r="AN20" s="246"/>
      <c r="AO20" s="246"/>
      <c r="AP20" s="246"/>
      <c r="AQ20" s="246"/>
      <c r="AR20" s="246"/>
      <c r="AS20" s="246"/>
      <c r="AT20" s="246"/>
      <c r="AU20" s="246"/>
      <c r="AV20" s="246"/>
      <c r="AW20" s="246"/>
      <c r="AX20" s="246"/>
      <c r="AY20" s="246"/>
      <c r="AZ20" s="247"/>
      <c r="BA20" s="17"/>
      <c r="BB20" s="254" t="s">
        <v>9</v>
      </c>
      <c r="BC20" s="255"/>
      <c r="BD20" s="255"/>
      <c r="BE20" s="255"/>
      <c r="BF20" s="255"/>
      <c r="BG20" s="255"/>
      <c r="BH20" s="255"/>
      <c r="BI20" s="223"/>
      <c r="BJ20" s="224"/>
      <c r="BK20" s="16"/>
      <c r="BR20" s="18"/>
    </row>
    <row r="21" spans="3:83" ht="13.35" customHeight="1" x14ac:dyDescent="0.4">
      <c r="C21" s="14"/>
      <c r="D21" s="239"/>
      <c r="E21" s="240"/>
      <c r="F21" s="240"/>
      <c r="G21" s="240"/>
      <c r="H21" s="240"/>
      <c r="I21" s="240"/>
      <c r="J21" s="241"/>
      <c r="K21" s="239"/>
      <c r="L21" s="240"/>
      <c r="M21" s="240"/>
      <c r="N21" s="240"/>
      <c r="O21" s="240"/>
      <c r="P21" s="240"/>
      <c r="Q21" s="241"/>
      <c r="R21" s="239"/>
      <c r="S21" s="240"/>
      <c r="T21" s="240"/>
      <c r="U21" s="240"/>
      <c r="V21" s="240"/>
      <c r="W21" s="240"/>
      <c r="X21" s="241"/>
      <c r="Y21" s="248"/>
      <c r="Z21" s="249"/>
      <c r="AA21" s="249"/>
      <c r="AB21" s="249"/>
      <c r="AC21" s="249"/>
      <c r="AD21" s="249"/>
      <c r="AE21" s="249"/>
      <c r="AF21" s="249"/>
      <c r="AG21" s="249"/>
      <c r="AH21" s="249"/>
      <c r="AI21" s="249"/>
      <c r="AJ21" s="249"/>
      <c r="AK21" s="249"/>
      <c r="AL21" s="249"/>
      <c r="AM21" s="249"/>
      <c r="AN21" s="249"/>
      <c r="AO21" s="249"/>
      <c r="AP21" s="249"/>
      <c r="AQ21" s="249"/>
      <c r="AR21" s="249"/>
      <c r="AS21" s="249"/>
      <c r="AT21" s="249"/>
      <c r="AU21" s="249"/>
      <c r="AV21" s="249"/>
      <c r="AW21" s="249"/>
      <c r="AX21" s="249"/>
      <c r="AY21" s="249"/>
      <c r="AZ21" s="250"/>
      <c r="BA21" s="17"/>
      <c r="BB21" s="256"/>
      <c r="BC21" s="257"/>
      <c r="BD21" s="257"/>
      <c r="BE21" s="257"/>
      <c r="BF21" s="257"/>
      <c r="BG21" s="257"/>
      <c r="BH21" s="257"/>
      <c r="BI21" s="225"/>
      <c r="BJ21" s="226"/>
      <c r="BK21" s="16"/>
      <c r="BR21" s="18"/>
    </row>
    <row r="22" spans="3:83" ht="13.35" customHeight="1" x14ac:dyDescent="0.4">
      <c r="C22" s="14"/>
      <c r="D22" s="239"/>
      <c r="E22" s="240"/>
      <c r="F22" s="240"/>
      <c r="G22" s="240"/>
      <c r="H22" s="240"/>
      <c r="I22" s="240"/>
      <c r="J22" s="241"/>
      <c r="K22" s="239"/>
      <c r="L22" s="240"/>
      <c r="M22" s="240"/>
      <c r="N22" s="240"/>
      <c r="O22" s="240"/>
      <c r="P22" s="240"/>
      <c r="Q22" s="241"/>
      <c r="R22" s="239"/>
      <c r="S22" s="240"/>
      <c r="T22" s="240"/>
      <c r="U22" s="240"/>
      <c r="V22" s="240"/>
      <c r="W22" s="240"/>
      <c r="X22" s="241"/>
      <c r="Y22" s="251"/>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3"/>
      <c r="BA22" s="19"/>
      <c r="BB22" s="256"/>
      <c r="BC22" s="257"/>
      <c r="BD22" s="257"/>
      <c r="BE22" s="257"/>
      <c r="BF22" s="257"/>
      <c r="BG22" s="257"/>
      <c r="BH22" s="257"/>
      <c r="BI22" s="225"/>
      <c r="BJ22" s="226"/>
      <c r="BK22" s="16"/>
      <c r="BR22" s="18"/>
    </row>
    <row r="23" spans="3:83" ht="31.35" customHeight="1" x14ac:dyDescent="0.4">
      <c r="C23" s="14"/>
      <c r="D23" s="242"/>
      <c r="E23" s="243"/>
      <c r="F23" s="243"/>
      <c r="G23" s="243"/>
      <c r="H23" s="243"/>
      <c r="I23" s="243"/>
      <c r="J23" s="244"/>
      <c r="K23" s="242"/>
      <c r="L23" s="243"/>
      <c r="M23" s="243"/>
      <c r="N23" s="243"/>
      <c r="O23" s="243"/>
      <c r="P23" s="243"/>
      <c r="Q23" s="244"/>
      <c r="R23" s="242"/>
      <c r="S23" s="243"/>
      <c r="T23" s="243"/>
      <c r="U23" s="243"/>
      <c r="V23" s="243"/>
      <c r="W23" s="243"/>
      <c r="X23" s="244"/>
      <c r="Y23" s="260" t="s">
        <v>10</v>
      </c>
      <c r="Z23" s="261"/>
      <c r="AA23" s="261"/>
      <c r="AB23" s="261"/>
      <c r="AC23" s="261"/>
      <c r="AD23" s="261"/>
      <c r="AE23" s="262"/>
      <c r="AF23" s="260" t="s">
        <v>11</v>
      </c>
      <c r="AG23" s="261"/>
      <c r="AH23" s="261"/>
      <c r="AI23" s="261"/>
      <c r="AJ23" s="261"/>
      <c r="AK23" s="261"/>
      <c r="AL23" s="262"/>
      <c r="AM23" s="260" t="s">
        <v>12</v>
      </c>
      <c r="AN23" s="261"/>
      <c r="AO23" s="261"/>
      <c r="AP23" s="261"/>
      <c r="AQ23" s="261"/>
      <c r="AR23" s="261"/>
      <c r="AS23" s="262"/>
      <c r="AT23" s="260" t="s">
        <v>13</v>
      </c>
      <c r="AU23" s="261"/>
      <c r="AV23" s="261"/>
      <c r="AW23" s="261"/>
      <c r="AX23" s="261"/>
      <c r="AY23" s="261"/>
      <c r="AZ23" s="262"/>
      <c r="BA23" s="19"/>
      <c r="BB23" s="258"/>
      <c r="BC23" s="259"/>
      <c r="BD23" s="259"/>
      <c r="BE23" s="259"/>
      <c r="BF23" s="259"/>
      <c r="BG23" s="259"/>
      <c r="BH23" s="259"/>
      <c r="BI23" s="227"/>
      <c r="BJ23" s="228"/>
      <c r="BK23" s="16"/>
      <c r="BR23" s="18"/>
    </row>
    <row r="24" spans="3:83" ht="15.6" customHeight="1" x14ac:dyDescent="0.4">
      <c r="C24" s="14"/>
      <c r="D24" s="121" t="str">
        <f>IF([13]回答表!R41="○","○","")</f>
        <v/>
      </c>
      <c r="E24" s="122"/>
      <c r="F24" s="122"/>
      <c r="G24" s="122"/>
      <c r="H24" s="122"/>
      <c r="I24" s="122"/>
      <c r="J24" s="123"/>
      <c r="K24" s="121" t="str">
        <f>IF([13]回答表!R42="○","○","")</f>
        <v/>
      </c>
      <c r="L24" s="122"/>
      <c r="M24" s="122"/>
      <c r="N24" s="122"/>
      <c r="O24" s="122"/>
      <c r="P24" s="122"/>
      <c r="Q24" s="123"/>
      <c r="R24" s="121" t="str">
        <f>IF([13]回答表!R43="○","○","")</f>
        <v/>
      </c>
      <c r="S24" s="122"/>
      <c r="T24" s="122"/>
      <c r="U24" s="122"/>
      <c r="V24" s="122"/>
      <c r="W24" s="122"/>
      <c r="X24" s="123"/>
      <c r="Y24" s="121" t="str">
        <f>IF([13]回答表!R44="○","○","")</f>
        <v/>
      </c>
      <c r="Z24" s="122"/>
      <c r="AA24" s="122"/>
      <c r="AB24" s="122"/>
      <c r="AC24" s="122"/>
      <c r="AD24" s="122"/>
      <c r="AE24" s="123"/>
      <c r="AF24" s="121" t="str">
        <f>IF([13]回答表!R45="○","○","")</f>
        <v/>
      </c>
      <c r="AG24" s="122"/>
      <c r="AH24" s="122"/>
      <c r="AI24" s="122"/>
      <c r="AJ24" s="122"/>
      <c r="AK24" s="122"/>
      <c r="AL24" s="123"/>
      <c r="AM24" s="121" t="str">
        <f>IF([13]回答表!R46="○","○","")</f>
        <v/>
      </c>
      <c r="AN24" s="122"/>
      <c r="AO24" s="122"/>
      <c r="AP24" s="122"/>
      <c r="AQ24" s="122"/>
      <c r="AR24" s="122"/>
      <c r="AS24" s="123"/>
      <c r="AT24" s="121" t="str">
        <f>IF([13]回答表!R47="○","○","")</f>
        <v/>
      </c>
      <c r="AU24" s="122"/>
      <c r="AV24" s="122"/>
      <c r="AW24" s="122"/>
      <c r="AX24" s="122"/>
      <c r="AY24" s="122"/>
      <c r="AZ24" s="123"/>
      <c r="BA24" s="19"/>
      <c r="BB24" s="118" t="str">
        <f>IF([13]回答表!R48="○","○","")</f>
        <v>○</v>
      </c>
      <c r="BC24" s="119"/>
      <c r="BD24" s="119"/>
      <c r="BE24" s="119"/>
      <c r="BF24" s="119"/>
      <c r="BG24" s="119"/>
      <c r="BH24" s="119"/>
      <c r="BI24" s="223"/>
      <c r="BJ24" s="224"/>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25"/>
      <c r="BJ25" s="226"/>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27"/>
      <c r="BJ26" s="228"/>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IF([13]回答表!X41="○","○","")</f>
        <v/>
      </c>
      <c r="O36" s="98"/>
      <c r="P36" s="98"/>
      <c r="Q36" s="99"/>
      <c r="R36" s="39"/>
      <c r="S36" s="39"/>
      <c r="T36" s="39"/>
      <c r="U36" s="106" t="str">
        <f>IF([13]回答表!X41="○",[13]回答表!B56,IF([13]回答表!AA41="○",[13]回答表!B76,""))</f>
        <v/>
      </c>
      <c r="V36" s="107"/>
      <c r="W36" s="107"/>
      <c r="X36" s="107"/>
      <c r="Y36" s="107"/>
      <c r="Z36" s="107"/>
      <c r="AA36" s="107"/>
      <c r="AB36" s="107"/>
      <c r="AC36" s="107"/>
      <c r="AD36" s="107"/>
      <c r="AE36" s="107"/>
      <c r="AF36" s="107"/>
      <c r="AG36" s="107"/>
      <c r="AH36" s="107"/>
      <c r="AI36" s="107"/>
      <c r="AJ36" s="108"/>
      <c r="AK36" s="50"/>
      <c r="AL36" s="50"/>
      <c r="AM36" s="229" t="s">
        <v>19</v>
      </c>
      <c r="AN36" s="229"/>
      <c r="AO36" s="229"/>
      <c r="AP36" s="229"/>
      <c r="AQ36" s="229"/>
      <c r="AR36" s="229"/>
      <c r="AS36" s="229"/>
      <c r="AT36" s="229"/>
      <c r="AU36" s="229" t="s">
        <v>20</v>
      </c>
      <c r="AV36" s="229"/>
      <c r="AW36" s="229"/>
      <c r="AX36" s="229"/>
      <c r="AY36" s="229"/>
      <c r="AZ36" s="229"/>
      <c r="BA36" s="229"/>
      <c r="BB36" s="229"/>
      <c r="BC36" s="40"/>
      <c r="BD36" s="35"/>
      <c r="BE36" s="115" t="str">
        <f>IF([13]回答表!X41="○",[13]回答表!S62,IF([13]回答表!AA41="○",[13]回答表!S82,""))</f>
        <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29"/>
      <c r="AN37" s="229"/>
      <c r="AO37" s="229"/>
      <c r="AP37" s="229"/>
      <c r="AQ37" s="229"/>
      <c r="AR37" s="229"/>
      <c r="AS37" s="229"/>
      <c r="AT37" s="229"/>
      <c r="AU37" s="229"/>
      <c r="AV37" s="229"/>
      <c r="AW37" s="229"/>
      <c r="AX37" s="229"/>
      <c r="AY37" s="229"/>
      <c r="AZ37" s="229"/>
      <c r="BA37" s="229"/>
      <c r="BB37" s="229"/>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IF([13]回答表!X41="○",[13]回答表!G62,IF([13]回答表!AA41="○",[13]回答表!G82,""))</f>
        <v/>
      </c>
      <c r="AN38" s="119"/>
      <c r="AO38" s="119"/>
      <c r="AP38" s="119"/>
      <c r="AQ38" s="119"/>
      <c r="AR38" s="119"/>
      <c r="AS38" s="119"/>
      <c r="AT38" s="120"/>
      <c r="AU38" s="118" t="str">
        <f>IF([13]回答表!X41="○",[13]回答表!G63,IF([13]回答表!AA41="○",[13]回答表!G83,""))</f>
        <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t="str">
        <f>IF([13]回答表!X41="○",[13]回答表!V62,IF([13]回答表!AA41="○",[13]回答表!V82,""))</f>
        <v/>
      </c>
      <c r="BF39" s="217"/>
      <c r="BG39" s="217"/>
      <c r="BH39" s="218"/>
      <c r="BI39" s="82" t="str">
        <f>IF([13]回答表!X41="○",[13]回答表!V63,IF([13]回答表!AA41="○",[13]回答表!V83,""))</f>
        <v/>
      </c>
      <c r="BJ39" s="217"/>
      <c r="BK39" s="217"/>
      <c r="BL39" s="218"/>
      <c r="BM39" s="82" t="str">
        <f>IF([13]回答表!X41="○",[13]回答表!V64,IF([13]回答表!AA41="○",[13]回答表!V84,""))</f>
        <v/>
      </c>
      <c r="BN39" s="217"/>
      <c r="BO39" s="217"/>
      <c r="BP39" s="218"/>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19"/>
      <c r="BF40" s="217"/>
      <c r="BG40" s="217"/>
      <c r="BH40" s="218"/>
      <c r="BI40" s="219"/>
      <c r="BJ40" s="217"/>
      <c r="BK40" s="217"/>
      <c r="BL40" s="218"/>
      <c r="BM40" s="219"/>
      <c r="BN40" s="217"/>
      <c r="BO40" s="217"/>
      <c r="BP40" s="218"/>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19"/>
      <c r="BF41" s="217"/>
      <c r="BG41" s="217"/>
      <c r="BH41" s="218"/>
      <c r="BI41" s="219"/>
      <c r="BJ41" s="217"/>
      <c r="BK41" s="217"/>
      <c r="BL41" s="218"/>
      <c r="BM41" s="219"/>
      <c r="BN41" s="217"/>
      <c r="BO41" s="217"/>
      <c r="BP41" s="218"/>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215" t="str">
        <f>IF([13]回答表!X41="○",[13]回答表!O68,IF([13]回答表!AA41="○",[13]回答表!O88,""))</f>
        <v/>
      </c>
      <c r="AN42" s="216"/>
      <c r="AO42" s="213" t="s">
        <v>21</v>
      </c>
      <c r="AP42" s="213"/>
      <c r="AQ42" s="213"/>
      <c r="AR42" s="213"/>
      <c r="AS42" s="213"/>
      <c r="AT42" s="213"/>
      <c r="AU42" s="213"/>
      <c r="AV42" s="213"/>
      <c r="AW42" s="213"/>
      <c r="AX42" s="213"/>
      <c r="AY42" s="213"/>
      <c r="AZ42" s="213"/>
      <c r="BA42" s="213"/>
      <c r="BB42" s="214"/>
      <c r="BC42" s="40"/>
      <c r="BD42" s="40"/>
      <c r="BE42" s="219"/>
      <c r="BF42" s="217"/>
      <c r="BG42" s="217"/>
      <c r="BH42" s="218"/>
      <c r="BI42" s="219"/>
      <c r="BJ42" s="217"/>
      <c r="BK42" s="217"/>
      <c r="BL42" s="218"/>
      <c r="BM42" s="219"/>
      <c r="BN42" s="217"/>
      <c r="BO42" s="217"/>
      <c r="BP42" s="218"/>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215" t="str">
        <f>IF([13]回答表!X41="○",[13]回答表!O69,IF([13]回答表!AA41="○",[13]回答表!O89,""))</f>
        <v/>
      </c>
      <c r="AN43" s="216"/>
      <c r="AO43" s="213" t="s">
        <v>22</v>
      </c>
      <c r="AP43" s="213"/>
      <c r="AQ43" s="213"/>
      <c r="AR43" s="213"/>
      <c r="AS43" s="213"/>
      <c r="AT43" s="213"/>
      <c r="AU43" s="213"/>
      <c r="AV43" s="213"/>
      <c r="AW43" s="213"/>
      <c r="AX43" s="213"/>
      <c r="AY43" s="213"/>
      <c r="AZ43" s="213"/>
      <c r="BA43" s="213"/>
      <c r="BB43" s="214"/>
      <c r="BC43" s="40"/>
      <c r="BD43" s="35"/>
      <c r="BE43" s="82" t="s">
        <v>23</v>
      </c>
      <c r="BF43" s="217"/>
      <c r="BG43" s="217"/>
      <c r="BH43" s="218"/>
      <c r="BI43" s="82" t="s">
        <v>24</v>
      </c>
      <c r="BJ43" s="217"/>
      <c r="BK43" s="217"/>
      <c r="BL43" s="218"/>
      <c r="BM43" s="82" t="s">
        <v>25</v>
      </c>
      <c r="BN43" s="217"/>
      <c r="BO43" s="217"/>
      <c r="BP43" s="218"/>
      <c r="BQ43" s="38"/>
      <c r="BR43" s="25"/>
    </row>
    <row r="44" spans="1:70" ht="15.6" customHeight="1" x14ac:dyDescent="0.4">
      <c r="A44" s="25"/>
      <c r="B44" s="25"/>
      <c r="C44" s="33"/>
      <c r="D44" s="140" t="s">
        <v>26</v>
      </c>
      <c r="E44" s="141"/>
      <c r="F44" s="141"/>
      <c r="G44" s="141"/>
      <c r="H44" s="141"/>
      <c r="I44" s="141"/>
      <c r="J44" s="141"/>
      <c r="K44" s="141"/>
      <c r="L44" s="141"/>
      <c r="M44" s="142"/>
      <c r="N44" s="97" t="str">
        <f>IF([13]回答表!AA41="○","○","")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215" t="str">
        <f>IF([13]回答表!X41="○",[13]回答表!O70,IF([13]回答表!AA41="○",[13]回答表!O90,""))</f>
        <v/>
      </c>
      <c r="AN44" s="216"/>
      <c r="AO44" s="213" t="s">
        <v>27</v>
      </c>
      <c r="AP44" s="213"/>
      <c r="AQ44" s="213"/>
      <c r="AR44" s="213"/>
      <c r="AS44" s="213"/>
      <c r="AT44" s="213"/>
      <c r="AU44" s="213"/>
      <c r="AV44" s="213"/>
      <c r="AW44" s="213"/>
      <c r="AX44" s="213"/>
      <c r="AY44" s="213"/>
      <c r="AZ44" s="213"/>
      <c r="BA44" s="213"/>
      <c r="BB44" s="214"/>
      <c r="BC44" s="40"/>
      <c r="BD44" s="54"/>
      <c r="BE44" s="219"/>
      <c r="BF44" s="217"/>
      <c r="BG44" s="217"/>
      <c r="BH44" s="218"/>
      <c r="BI44" s="219"/>
      <c r="BJ44" s="217"/>
      <c r="BK44" s="217"/>
      <c r="BL44" s="218"/>
      <c r="BM44" s="219"/>
      <c r="BN44" s="217"/>
      <c r="BO44" s="217"/>
      <c r="BP44" s="218"/>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215" t="str">
        <f>IF([13]回答表!X41="○",[13]回答表!O71,IF([13]回答表!AA41="○",[13]回答表!O91,""))</f>
        <v/>
      </c>
      <c r="AN45" s="216"/>
      <c r="AO45" s="213" t="s">
        <v>28</v>
      </c>
      <c r="AP45" s="213"/>
      <c r="AQ45" s="213"/>
      <c r="AR45" s="213"/>
      <c r="AS45" s="213"/>
      <c r="AT45" s="213"/>
      <c r="AU45" s="213"/>
      <c r="AV45" s="213"/>
      <c r="AW45" s="213"/>
      <c r="AX45" s="213"/>
      <c r="AY45" s="213"/>
      <c r="AZ45" s="213"/>
      <c r="BA45" s="213"/>
      <c r="BB45" s="214"/>
      <c r="BC45" s="40"/>
      <c r="BD45" s="54"/>
      <c r="BE45" s="220"/>
      <c r="BF45" s="221"/>
      <c r="BG45" s="221"/>
      <c r="BH45" s="222"/>
      <c r="BI45" s="220"/>
      <c r="BJ45" s="221"/>
      <c r="BK45" s="221"/>
      <c r="BL45" s="222"/>
      <c r="BM45" s="220"/>
      <c r="BN45" s="221"/>
      <c r="BO45" s="221"/>
      <c r="BP45" s="222"/>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215" t="str">
        <f>IF([13]回答表!X41="○",[13]回答表!AG68,IF([13]回答表!AA41="○",[13]回答表!AG88,""))</f>
        <v/>
      </c>
      <c r="AN46" s="216"/>
      <c r="AO46" s="213" t="s">
        <v>29</v>
      </c>
      <c r="AP46" s="213"/>
      <c r="AQ46" s="213"/>
      <c r="AR46" s="213"/>
      <c r="AS46" s="213"/>
      <c r="AT46" s="213"/>
      <c r="AU46" s="213"/>
      <c r="AV46" s="213"/>
      <c r="AW46" s="213"/>
      <c r="AX46" s="213"/>
      <c r="AY46" s="213"/>
      <c r="AZ46" s="213"/>
      <c r="BA46" s="213"/>
      <c r="BB46" s="214"/>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215" t="str">
        <f>IF([13]回答表!X41="○",[13]回答表!AG69,IF([13]回答表!AA41="○",[13]回答表!AG89,""))</f>
        <v/>
      </c>
      <c r="AN47" s="216"/>
      <c r="AO47" s="213" t="s">
        <v>30</v>
      </c>
      <c r="AP47" s="213"/>
      <c r="AQ47" s="213"/>
      <c r="AR47" s="213"/>
      <c r="AS47" s="213"/>
      <c r="AT47" s="213"/>
      <c r="AU47" s="213"/>
      <c r="AV47" s="213"/>
      <c r="AW47" s="213"/>
      <c r="AX47" s="213"/>
      <c r="AY47" s="213"/>
      <c r="AZ47" s="213"/>
      <c r="BA47" s="213"/>
      <c r="BB47" s="214"/>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215" t="str">
        <f>IF([13]回答表!X41="○",[13]回答表!AG70,IF([13]回答表!AA41="○",[13]回答表!AG90,""))</f>
        <v/>
      </c>
      <c r="AN48" s="216"/>
      <c r="AO48" s="213" t="s">
        <v>31</v>
      </c>
      <c r="AP48" s="213"/>
      <c r="AQ48" s="213"/>
      <c r="AR48" s="213"/>
      <c r="AS48" s="213"/>
      <c r="AT48" s="213"/>
      <c r="AU48" s="213"/>
      <c r="AV48" s="213"/>
      <c r="AW48" s="213"/>
      <c r="AX48" s="213"/>
      <c r="AY48" s="213"/>
      <c r="AZ48" s="213"/>
      <c r="BA48" s="213"/>
      <c r="BB48" s="214"/>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IF([13]回答表!AD41="○","○","")</f>
        <v/>
      </c>
      <c r="O52" s="98"/>
      <c r="P52" s="98"/>
      <c r="Q52" s="99"/>
      <c r="R52" s="39"/>
      <c r="S52" s="39"/>
      <c r="T52" s="39"/>
      <c r="U52" s="106" t="str">
        <f>IF([13]回答表!AD41="○",[13]回答表!B96,"")</f>
        <v/>
      </c>
      <c r="V52" s="107"/>
      <c r="W52" s="107"/>
      <c r="X52" s="107"/>
      <c r="Y52" s="107"/>
      <c r="Z52" s="107"/>
      <c r="AA52" s="107"/>
      <c r="AB52" s="107"/>
      <c r="AC52" s="107"/>
      <c r="AD52" s="107"/>
      <c r="AE52" s="107"/>
      <c r="AF52" s="107"/>
      <c r="AG52" s="107"/>
      <c r="AH52" s="107"/>
      <c r="AI52" s="107"/>
      <c r="AJ52" s="108"/>
      <c r="AK52" s="56"/>
      <c r="AL52" s="56"/>
      <c r="AM52" s="106" t="str">
        <f>IF([13]回答表!AD41="○",[13]回答表!B101,"")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IF([13]回答表!X42="○","○","")</f>
        <v/>
      </c>
      <c r="O63" s="98"/>
      <c r="P63" s="98"/>
      <c r="Q63" s="99"/>
      <c r="R63" s="39"/>
      <c r="S63" s="39"/>
      <c r="T63" s="39"/>
      <c r="U63" s="106" t="str">
        <f>IF([13]回答表!X42="○",[13]回答表!B111,IF([13]回答表!AA42="○",[13]回答表!B124,""))</f>
        <v/>
      </c>
      <c r="V63" s="107"/>
      <c r="W63" s="107"/>
      <c r="X63" s="107"/>
      <c r="Y63" s="107"/>
      <c r="Z63" s="107"/>
      <c r="AA63" s="107"/>
      <c r="AB63" s="107"/>
      <c r="AC63" s="107"/>
      <c r="AD63" s="107"/>
      <c r="AE63" s="107"/>
      <c r="AF63" s="107"/>
      <c r="AG63" s="107"/>
      <c r="AH63" s="107"/>
      <c r="AI63" s="107"/>
      <c r="AJ63" s="108"/>
      <c r="AK63" s="50"/>
      <c r="AL63" s="50"/>
      <c r="AM63" s="212" t="s">
        <v>37</v>
      </c>
      <c r="AN63" s="212"/>
      <c r="AO63" s="212"/>
      <c r="AP63" s="212"/>
      <c r="AQ63" s="212"/>
      <c r="AR63" s="212"/>
      <c r="AS63" s="212"/>
      <c r="AT63" s="212"/>
      <c r="AU63" s="212" t="s">
        <v>38</v>
      </c>
      <c r="AV63" s="212"/>
      <c r="AW63" s="212"/>
      <c r="AX63" s="212"/>
      <c r="AY63" s="212"/>
      <c r="AZ63" s="212"/>
      <c r="BA63" s="212"/>
      <c r="BB63" s="212"/>
      <c r="BC63" s="40"/>
      <c r="BD63" s="35"/>
      <c r="BE63" s="115" t="str">
        <f>IF([13]回答表!X42="○",[13]回答表!S117,IF([13]回答表!AA42="○",[13]回答表!S130,""))</f>
        <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212"/>
      <c r="AN64" s="212"/>
      <c r="AO64" s="212"/>
      <c r="AP64" s="212"/>
      <c r="AQ64" s="212"/>
      <c r="AR64" s="212"/>
      <c r="AS64" s="212"/>
      <c r="AT64" s="212"/>
      <c r="AU64" s="212"/>
      <c r="AV64" s="212"/>
      <c r="AW64" s="212"/>
      <c r="AX64" s="212"/>
      <c r="AY64" s="212"/>
      <c r="AZ64" s="212"/>
      <c r="BA64" s="212"/>
      <c r="BB64" s="212"/>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212"/>
      <c r="AN65" s="212"/>
      <c r="AO65" s="212"/>
      <c r="AP65" s="212"/>
      <c r="AQ65" s="212"/>
      <c r="AR65" s="212"/>
      <c r="AS65" s="212"/>
      <c r="AT65" s="212"/>
      <c r="AU65" s="212"/>
      <c r="AV65" s="212"/>
      <c r="AW65" s="212"/>
      <c r="AX65" s="212"/>
      <c r="AY65" s="212"/>
      <c r="AZ65" s="212"/>
      <c r="BA65" s="212"/>
      <c r="BB65" s="212"/>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IF([13]回答表!X42="○",[13]回答表!J117,IF([13]回答表!AA42="○",[13]回答表!J130,""))</f>
        <v/>
      </c>
      <c r="AN66" s="119"/>
      <c r="AO66" s="119"/>
      <c r="AP66" s="119"/>
      <c r="AQ66" s="119"/>
      <c r="AR66" s="119"/>
      <c r="AS66" s="119"/>
      <c r="AT66" s="120"/>
      <c r="AU66" s="118" t="str">
        <f>IF([13]回答表!X42="○",[13]回答表!J118,IF([13]回答表!AA42="○",[13]回答表!J131,""))</f>
        <v/>
      </c>
      <c r="AV66" s="119"/>
      <c r="AW66" s="119"/>
      <c r="AX66" s="119"/>
      <c r="AY66" s="119"/>
      <c r="AZ66" s="119"/>
      <c r="BA66" s="119"/>
      <c r="BB66" s="120"/>
      <c r="BC66" s="40"/>
      <c r="BD66" s="35"/>
      <c r="BE66" s="82" t="str">
        <f>IF([13]回答表!X42="○",[13]回答表!V117,IF([13]回答表!AA42="○",[13]回答表!V130,""))</f>
        <v/>
      </c>
      <c r="BF66" s="83"/>
      <c r="BG66" s="83"/>
      <c r="BH66" s="83"/>
      <c r="BI66" s="82" t="str">
        <f>IF([13]回答表!X42="○",[13]回答表!V118,IF([13]回答表!AA42="○",[13]回答表!V131,""))</f>
        <v/>
      </c>
      <c r="BJ66" s="83"/>
      <c r="BK66" s="83"/>
      <c r="BL66" s="83"/>
      <c r="BM66" s="82" t="str">
        <f>IF([13]回答表!X42="○",[13]回答表!V119,IF([13]回答表!AA42="○",[13]回答表!V132,""))</f>
        <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IF([13]回答表!AA42="○","○","")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IF([13]回答表!AD42="○","○","")</f>
        <v/>
      </c>
      <c r="O75" s="98"/>
      <c r="P75" s="98"/>
      <c r="Q75" s="99"/>
      <c r="R75" s="39"/>
      <c r="S75" s="39"/>
      <c r="T75" s="39"/>
      <c r="U75" s="106" t="str">
        <f>IF([13]回答表!AD42="○",[13]回答表!B137,"")</f>
        <v/>
      </c>
      <c r="V75" s="107"/>
      <c r="W75" s="107"/>
      <c r="X75" s="107"/>
      <c r="Y75" s="107"/>
      <c r="Z75" s="107"/>
      <c r="AA75" s="107"/>
      <c r="AB75" s="107"/>
      <c r="AC75" s="107"/>
      <c r="AD75" s="107"/>
      <c r="AE75" s="107"/>
      <c r="AF75" s="107"/>
      <c r="AG75" s="107"/>
      <c r="AH75" s="107"/>
      <c r="AI75" s="107"/>
      <c r="AJ75" s="108"/>
      <c r="AK75" s="56"/>
      <c r="AL75" s="56"/>
      <c r="AM75" s="106" t="str">
        <f>IF([13]回答表!AD42="○",[13]回答表!B143,"")</f>
        <v/>
      </c>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8"/>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109"/>
      <c r="V76" s="110"/>
      <c r="W76" s="110"/>
      <c r="X76" s="110"/>
      <c r="Y76" s="110"/>
      <c r="Z76" s="110"/>
      <c r="AA76" s="110"/>
      <c r="AB76" s="110"/>
      <c r="AC76" s="110"/>
      <c r="AD76" s="110"/>
      <c r="AE76" s="110"/>
      <c r="AF76" s="110"/>
      <c r="AG76" s="110"/>
      <c r="AH76" s="110"/>
      <c r="AI76" s="110"/>
      <c r="AJ76" s="111"/>
      <c r="AK76" s="56"/>
      <c r="AL76" s="56"/>
      <c r="AM76" s="109"/>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1"/>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109"/>
      <c r="V77" s="110"/>
      <c r="W77" s="110"/>
      <c r="X77" s="110"/>
      <c r="Y77" s="110"/>
      <c r="Z77" s="110"/>
      <c r="AA77" s="110"/>
      <c r="AB77" s="110"/>
      <c r="AC77" s="110"/>
      <c r="AD77" s="110"/>
      <c r="AE77" s="110"/>
      <c r="AF77" s="110"/>
      <c r="AG77" s="110"/>
      <c r="AH77" s="110"/>
      <c r="AI77" s="110"/>
      <c r="AJ77" s="111"/>
      <c r="AK77" s="56"/>
      <c r="AL77" s="56"/>
      <c r="AM77" s="109"/>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1"/>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112"/>
      <c r="V78" s="113"/>
      <c r="W78" s="113"/>
      <c r="X78" s="113"/>
      <c r="Y78" s="113"/>
      <c r="Z78" s="113"/>
      <c r="AA78" s="113"/>
      <c r="AB78" s="113"/>
      <c r="AC78" s="113"/>
      <c r="AD78" s="113"/>
      <c r="AE78" s="113"/>
      <c r="AF78" s="113"/>
      <c r="AG78" s="113"/>
      <c r="AH78" s="113"/>
      <c r="AI78" s="113"/>
      <c r="AJ78" s="114"/>
      <c r="AK78" s="56"/>
      <c r="AL78" s="56"/>
      <c r="AM78" s="112"/>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4"/>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62"/>
      <c r="AS81" s="162"/>
      <c r="AT81" s="162"/>
      <c r="AU81" s="162"/>
      <c r="AV81" s="162"/>
      <c r="AW81" s="162"/>
      <c r="AX81" s="162"/>
      <c r="AY81" s="162"/>
      <c r="AZ81" s="162"/>
      <c r="BA81" s="162"/>
      <c r="BB81" s="162"/>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87"/>
      <c r="AS82" s="187"/>
      <c r="AT82" s="187"/>
      <c r="AU82" s="187"/>
      <c r="AV82" s="187"/>
      <c r="AW82" s="187"/>
      <c r="AX82" s="187"/>
      <c r="AY82" s="187"/>
      <c r="AZ82" s="187"/>
      <c r="BA82" s="187"/>
      <c r="BB82" s="187"/>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81" t="s">
        <v>18</v>
      </c>
      <c r="E87" s="181"/>
      <c r="F87" s="181"/>
      <c r="G87" s="181"/>
      <c r="H87" s="181"/>
      <c r="I87" s="181"/>
      <c r="J87" s="181"/>
      <c r="K87" s="181"/>
      <c r="L87" s="181"/>
      <c r="M87" s="181"/>
      <c r="N87" s="97" t="str">
        <f>IF([13]回答表!F17="水道事業",IF([13]回答表!X43="○","○",""),"")</f>
        <v/>
      </c>
      <c r="O87" s="98"/>
      <c r="P87" s="98"/>
      <c r="Q87" s="99"/>
      <c r="R87" s="39"/>
      <c r="S87" s="39"/>
      <c r="T87" s="39"/>
      <c r="U87" s="188" t="s">
        <v>41</v>
      </c>
      <c r="V87" s="189"/>
      <c r="W87" s="189"/>
      <c r="X87" s="189"/>
      <c r="Y87" s="189"/>
      <c r="Z87" s="189"/>
      <c r="AA87" s="189"/>
      <c r="AB87" s="189"/>
      <c r="AC87" s="188" t="s">
        <v>42</v>
      </c>
      <c r="AD87" s="189"/>
      <c r="AE87" s="189"/>
      <c r="AF87" s="189"/>
      <c r="AG87" s="189"/>
      <c r="AH87" s="189"/>
      <c r="AI87" s="189"/>
      <c r="AJ87" s="198"/>
      <c r="AK87" s="50"/>
      <c r="AL87" s="50"/>
      <c r="AM87" s="106" t="str">
        <f>IF([13]回答表!F17="水道事業",IF([13]回答表!X43="○",[13]回答表!B154,IF([13]回答表!AA43="○",[13]回答表!B201,"")),"")</f>
        <v/>
      </c>
      <c r="AN87" s="107"/>
      <c r="AO87" s="107"/>
      <c r="AP87" s="107"/>
      <c r="AQ87" s="107"/>
      <c r="AR87" s="107"/>
      <c r="AS87" s="107"/>
      <c r="AT87" s="107"/>
      <c r="AU87" s="107"/>
      <c r="AV87" s="107"/>
      <c r="AW87" s="107"/>
      <c r="AX87" s="107"/>
      <c r="AY87" s="107"/>
      <c r="AZ87" s="107"/>
      <c r="BA87" s="107"/>
      <c r="BB87" s="108"/>
      <c r="BC87" s="40"/>
      <c r="BD87" s="35"/>
      <c r="BE87" s="115" t="str">
        <f>IF([13]回答表!F17="水道事業",IF([13]回答表!X43="○",[13]回答表!B190,IF([13]回答表!AA43="○",[13]回答表!B238,"")),"")</f>
        <v/>
      </c>
      <c r="BF87" s="116"/>
      <c r="BG87" s="116"/>
      <c r="BH87" s="116"/>
      <c r="BI87" s="115"/>
      <c r="BJ87" s="116"/>
      <c r="BK87" s="116"/>
      <c r="BL87" s="116"/>
      <c r="BM87" s="115"/>
      <c r="BN87" s="116"/>
      <c r="BO87" s="116"/>
      <c r="BP87" s="117"/>
      <c r="BQ87" s="38"/>
    </row>
    <row r="88" spans="3:69" ht="19.350000000000001" customHeight="1" x14ac:dyDescent="0.4">
      <c r="C88" s="33"/>
      <c r="D88" s="181"/>
      <c r="E88" s="181"/>
      <c r="F88" s="181"/>
      <c r="G88" s="181"/>
      <c r="H88" s="181"/>
      <c r="I88" s="181"/>
      <c r="J88" s="181"/>
      <c r="K88" s="181"/>
      <c r="L88" s="181"/>
      <c r="M88" s="181"/>
      <c r="N88" s="100"/>
      <c r="O88" s="101"/>
      <c r="P88" s="101"/>
      <c r="Q88" s="102"/>
      <c r="R88" s="39"/>
      <c r="S88" s="39"/>
      <c r="T88" s="39"/>
      <c r="U88" s="190"/>
      <c r="V88" s="191"/>
      <c r="W88" s="191"/>
      <c r="X88" s="191"/>
      <c r="Y88" s="191"/>
      <c r="Z88" s="191"/>
      <c r="AA88" s="191"/>
      <c r="AB88" s="191"/>
      <c r="AC88" s="190"/>
      <c r="AD88" s="191"/>
      <c r="AE88" s="191"/>
      <c r="AF88" s="191"/>
      <c r="AG88" s="191"/>
      <c r="AH88" s="191"/>
      <c r="AI88" s="191"/>
      <c r="AJ88" s="199"/>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81"/>
      <c r="E89" s="181"/>
      <c r="F89" s="181"/>
      <c r="G89" s="181"/>
      <c r="H89" s="181"/>
      <c r="I89" s="181"/>
      <c r="J89" s="181"/>
      <c r="K89" s="181"/>
      <c r="L89" s="181"/>
      <c r="M89" s="181"/>
      <c r="N89" s="100"/>
      <c r="O89" s="101"/>
      <c r="P89" s="101"/>
      <c r="Q89" s="102"/>
      <c r="R89" s="39"/>
      <c r="S89" s="39"/>
      <c r="T89" s="39"/>
      <c r="U89" s="118" t="str">
        <f>IF([13]回答表!F17="水道事業",IF([13]回答表!X43="○",[13]回答表!J162,IF([13]回答表!AA43="○",[13]回答表!J209,"")),"")</f>
        <v/>
      </c>
      <c r="V89" s="119"/>
      <c r="W89" s="119"/>
      <c r="X89" s="119"/>
      <c r="Y89" s="119"/>
      <c r="Z89" s="119"/>
      <c r="AA89" s="119"/>
      <c r="AB89" s="120"/>
      <c r="AC89" s="118" t="str">
        <f>IF([13]回答表!F17="水道事業",IF([13]回答表!X43="○",[13]回答表!J169,IF([13]回答表!AA43="○",[13]回答表!J216,"")),"")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81"/>
      <c r="E90" s="181"/>
      <c r="F90" s="181"/>
      <c r="G90" s="181"/>
      <c r="H90" s="181"/>
      <c r="I90" s="181"/>
      <c r="J90" s="181"/>
      <c r="K90" s="181"/>
      <c r="L90" s="181"/>
      <c r="M90" s="181"/>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IF([13]回答表!F17="水道事業",IF([13]回答表!X43="○",[13]回答表!E190,IF([13]回答表!AA43="○",[13]回答表!E238,"")),"")</f>
        <v/>
      </c>
      <c r="BF90" s="83"/>
      <c r="BG90" s="83"/>
      <c r="BH90" s="83"/>
      <c r="BI90" s="82" t="str">
        <f>IF([13]回答表!F17="水道事業",IF([13]回答表!X43="○",[13]回答表!E191,IF([13]回答表!AA43="○",[13]回答表!E239,"")),"")</f>
        <v/>
      </c>
      <c r="BJ90" s="83"/>
      <c r="BK90" s="83"/>
      <c r="BL90" s="83"/>
      <c r="BM90" s="82" t="str">
        <f>IF([13]回答表!F17="水道事業",IF([13]回答表!X43="○",[13]回答表!E192,IF([13]回答表!AA43="○",[13]回答表!E240,"")),"")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88" t="s">
        <v>43</v>
      </c>
      <c r="V92" s="189"/>
      <c r="W92" s="189"/>
      <c r="X92" s="189"/>
      <c r="Y92" s="189"/>
      <c r="Z92" s="189"/>
      <c r="AA92" s="189"/>
      <c r="AB92" s="189"/>
      <c r="AC92" s="188" t="s">
        <v>44</v>
      </c>
      <c r="AD92" s="189"/>
      <c r="AE92" s="189"/>
      <c r="AF92" s="189"/>
      <c r="AG92" s="189"/>
      <c r="AH92" s="189"/>
      <c r="AI92" s="189"/>
      <c r="AJ92" s="198"/>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86" t="s">
        <v>26</v>
      </c>
      <c r="E93" s="181"/>
      <c r="F93" s="181"/>
      <c r="G93" s="181"/>
      <c r="H93" s="181"/>
      <c r="I93" s="181"/>
      <c r="J93" s="181"/>
      <c r="K93" s="181"/>
      <c r="L93" s="181"/>
      <c r="M93" s="182"/>
      <c r="N93" s="97" t="str">
        <f>IF([13]回答表!F17="水道事業",IF([13]回答表!AA43="○","○",""),"")</f>
        <v/>
      </c>
      <c r="O93" s="98"/>
      <c r="P93" s="98"/>
      <c r="Q93" s="99"/>
      <c r="R93" s="39"/>
      <c r="S93" s="39"/>
      <c r="T93" s="39"/>
      <c r="U93" s="190"/>
      <c r="V93" s="191"/>
      <c r="W93" s="191"/>
      <c r="X93" s="191"/>
      <c r="Y93" s="191"/>
      <c r="Z93" s="191"/>
      <c r="AA93" s="191"/>
      <c r="AB93" s="191"/>
      <c r="AC93" s="190"/>
      <c r="AD93" s="191"/>
      <c r="AE93" s="191"/>
      <c r="AF93" s="191"/>
      <c r="AG93" s="191"/>
      <c r="AH93" s="191"/>
      <c r="AI93" s="191"/>
      <c r="AJ93" s="199"/>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81"/>
      <c r="E94" s="181"/>
      <c r="F94" s="181"/>
      <c r="G94" s="181"/>
      <c r="H94" s="181"/>
      <c r="I94" s="181"/>
      <c r="J94" s="181"/>
      <c r="K94" s="181"/>
      <c r="L94" s="181"/>
      <c r="M94" s="182"/>
      <c r="N94" s="100"/>
      <c r="O94" s="101"/>
      <c r="P94" s="101"/>
      <c r="Q94" s="102"/>
      <c r="R94" s="39"/>
      <c r="S94" s="39"/>
      <c r="T94" s="39"/>
      <c r="U94" s="118" t="str">
        <f>IF([13]回答表!F17="水道事業",IF([13]回答表!X43="○",[13]回答表!J172,IF([13]回答表!AA43="○",[13]回答表!J219,"")),"")</f>
        <v/>
      </c>
      <c r="V94" s="119"/>
      <c r="W94" s="119"/>
      <c r="X94" s="119"/>
      <c r="Y94" s="119"/>
      <c r="Z94" s="119"/>
      <c r="AA94" s="119"/>
      <c r="AB94" s="120"/>
      <c r="AC94" s="118" t="str">
        <f>IF([13]回答表!F17="水道事業",IF([13]回答表!X43="○",[13]回答表!J176,IF([13]回答表!AA43="○",[13]回答表!J223,"")),"")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81"/>
      <c r="E95" s="181"/>
      <c r="F95" s="181"/>
      <c r="G95" s="181"/>
      <c r="H95" s="181"/>
      <c r="I95" s="181"/>
      <c r="J95" s="181"/>
      <c r="K95" s="181"/>
      <c r="L95" s="181"/>
      <c r="M95" s="182"/>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81"/>
      <c r="E96" s="181"/>
      <c r="F96" s="181"/>
      <c r="G96" s="181"/>
      <c r="H96" s="181"/>
      <c r="I96" s="181"/>
      <c r="J96" s="181"/>
      <c r="K96" s="181"/>
      <c r="L96" s="181"/>
      <c r="M96" s="182"/>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81" t="s">
        <v>34</v>
      </c>
      <c r="E99" s="181"/>
      <c r="F99" s="181"/>
      <c r="G99" s="181"/>
      <c r="H99" s="181"/>
      <c r="I99" s="181"/>
      <c r="J99" s="181"/>
      <c r="K99" s="181"/>
      <c r="L99" s="181"/>
      <c r="M99" s="182"/>
      <c r="N99" s="97" t="str">
        <f>IF([13]回答表!F17="水道事業",IF([13]回答表!AD43="○","○",""),"")</f>
        <v/>
      </c>
      <c r="O99" s="98"/>
      <c r="P99" s="98"/>
      <c r="Q99" s="99"/>
      <c r="R99" s="39"/>
      <c r="S99" s="39"/>
      <c r="T99" s="39"/>
      <c r="U99" s="106" t="str">
        <f>IF([13]回答表!F17="水道事業",IF([13]回答表!AD43="○",[13]回答表!B249,""),"")</f>
        <v/>
      </c>
      <c r="V99" s="107"/>
      <c r="W99" s="107"/>
      <c r="X99" s="107"/>
      <c r="Y99" s="107"/>
      <c r="Z99" s="107"/>
      <c r="AA99" s="107"/>
      <c r="AB99" s="107"/>
      <c r="AC99" s="107"/>
      <c r="AD99" s="107"/>
      <c r="AE99" s="107"/>
      <c r="AF99" s="107"/>
      <c r="AG99" s="107"/>
      <c r="AH99" s="107"/>
      <c r="AI99" s="107"/>
      <c r="AJ99" s="108"/>
      <c r="AK99" s="56"/>
      <c r="AL99" s="56"/>
      <c r="AM99" s="106" t="str">
        <f>IF([13]回答表!F17="水道事業",IF([13]回答表!AD43="○",[13]回答表!B255,""),"")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81"/>
      <c r="E100" s="181"/>
      <c r="F100" s="181"/>
      <c r="G100" s="181"/>
      <c r="H100" s="181"/>
      <c r="I100" s="181"/>
      <c r="J100" s="181"/>
      <c r="K100" s="181"/>
      <c r="L100" s="181"/>
      <c r="M100" s="182"/>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81"/>
      <c r="E101" s="181"/>
      <c r="F101" s="181"/>
      <c r="G101" s="181"/>
      <c r="H101" s="181"/>
      <c r="I101" s="181"/>
      <c r="J101" s="181"/>
      <c r="K101" s="181"/>
      <c r="L101" s="181"/>
      <c r="M101" s="182"/>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81"/>
      <c r="E102" s="181"/>
      <c r="F102" s="181"/>
      <c r="G102" s="181"/>
      <c r="H102" s="181"/>
      <c r="I102" s="181"/>
      <c r="J102" s="181"/>
      <c r="K102" s="181"/>
      <c r="L102" s="181"/>
      <c r="M102" s="182"/>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62"/>
      <c r="AS105" s="162"/>
      <c r="AT105" s="162"/>
      <c r="AU105" s="162"/>
      <c r="AV105" s="162"/>
      <c r="AW105" s="162"/>
      <c r="AX105" s="162"/>
      <c r="AY105" s="162"/>
      <c r="AZ105" s="162"/>
      <c r="BA105" s="162"/>
      <c r="BB105" s="162"/>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87"/>
      <c r="AS106" s="187"/>
      <c r="AT106" s="187"/>
      <c r="AU106" s="187"/>
      <c r="AV106" s="187"/>
      <c r="AW106" s="187"/>
      <c r="AX106" s="187"/>
      <c r="AY106" s="187"/>
      <c r="AZ106" s="187"/>
      <c r="BA106" s="187"/>
      <c r="BB106" s="187"/>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81" t="s">
        <v>18</v>
      </c>
      <c r="E111" s="181"/>
      <c r="F111" s="181"/>
      <c r="G111" s="181"/>
      <c r="H111" s="181"/>
      <c r="I111" s="181"/>
      <c r="J111" s="181"/>
      <c r="K111" s="181"/>
      <c r="L111" s="181"/>
      <c r="M111" s="181"/>
      <c r="N111" s="97" t="str">
        <f>IF([13]回答表!F17="簡易水道事業",IF([13]回答表!X43="○","○",""),"")</f>
        <v/>
      </c>
      <c r="O111" s="98"/>
      <c r="P111" s="98"/>
      <c r="Q111" s="99"/>
      <c r="R111" s="39"/>
      <c r="S111" s="39"/>
      <c r="T111" s="39"/>
      <c r="U111" s="188" t="s">
        <v>46</v>
      </c>
      <c r="V111" s="189"/>
      <c r="W111" s="189"/>
      <c r="X111" s="189"/>
      <c r="Y111" s="189"/>
      <c r="Z111" s="189"/>
      <c r="AA111" s="189"/>
      <c r="AB111" s="189"/>
      <c r="AC111" s="189"/>
      <c r="AD111" s="189"/>
      <c r="AE111" s="189"/>
      <c r="AF111" s="189"/>
      <c r="AG111" s="189"/>
      <c r="AH111" s="189"/>
      <c r="AI111" s="189"/>
      <c r="AJ111" s="198"/>
      <c r="AK111" s="50"/>
      <c r="AL111" s="50"/>
      <c r="AM111" s="106" t="str">
        <f>IF([13]回答表!F17="簡易水道事業",IF([13]回答表!X43="○",[13]回答表!B154,IF([13]回答表!AA43="○",[13]回答表!B201,"")),"")</f>
        <v/>
      </c>
      <c r="AN111" s="107"/>
      <c r="AO111" s="107"/>
      <c r="AP111" s="107"/>
      <c r="AQ111" s="107"/>
      <c r="AR111" s="107"/>
      <c r="AS111" s="107"/>
      <c r="AT111" s="107"/>
      <c r="AU111" s="107"/>
      <c r="AV111" s="107"/>
      <c r="AW111" s="107"/>
      <c r="AX111" s="107"/>
      <c r="AY111" s="107"/>
      <c r="AZ111" s="107"/>
      <c r="BA111" s="107"/>
      <c r="BB111" s="108"/>
      <c r="BC111" s="40"/>
      <c r="BD111" s="35"/>
      <c r="BE111" s="115" t="str">
        <f>IF([13]回答表!F17="簡易水道事業",IF([13]回答表!X43="○",[13]回答表!B190,IF([13]回答表!AA43="○",[13]回答表!B238,"")),"")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81"/>
      <c r="E112" s="181"/>
      <c r="F112" s="181"/>
      <c r="G112" s="181"/>
      <c r="H112" s="181"/>
      <c r="I112" s="181"/>
      <c r="J112" s="181"/>
      <c r="K112" s="181"/>
      <c r="L112" s="181"/>
      <c r="M112" s="181"/>
      <c r="N112" s="100"/>
      <c r="O112" s="101"/>
      <c r="P112" s="101"/>
      <c r="Q112" s="102"/>
      <c r="R112" s="39"/>
      <c r="S112" s="39"/>
      <c r="T112" s="39"/>
      <c r="U112" s="200"/>
      <c r="V112" s="201"/>
      <c r="W112" s="201"/>
      <c r="X112" s="201"/>
      <c r="Y112" s="201"/>
      <c r="Z112" s="201"/>
      <c r="AA112" s="201"/>
      <c r="AB112" s="201"/>
      <c r="AC112" s="201"/>
      <c r="AD112" s="201"/>
      <c r="AE112" s="201"/>
      <c r="AF112" s="201"/>
      <c r="AG112" s="201"/>
      <c r="AH112" s="201"/>
      <c r="AI112" s="201"/>
      <c r="AJ112" s="202"/>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81"/>
      <c r="E113" s="181"/>
      <c r="F113" s="181"/>
      <c r="G113" s="181"/>
      <c r="H113" s="181"/>
      <c r="I113" s="181"/>
      <c r="J113" s="181"/>
      <c r="K113" s="181"/>
      <c r="L113" s="181"/>
      <c r="M113" s="181"/>
      <c r="N113" s="100"/>
      <c r="O113" s="101"/>
      <c r="P113" s="101"/>
      <c r="Q113" s="102"/>
      <c r="R113" s="39"/>
      <c r="S113" s="39"/>
      <c r="T113" s="39"/>
      <c r="U113" s="118" t="str">
        <f>IF([13]回答表!F17="簡易水道事業",IF([13]回答表!X43="○",[13]回答表!Y181,IF([13]回答表!AA43="○",[13]回答表!Y229,"")),"")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81"/>
      <c r="E114" s="181"/>
      <c r="F114" s="181"/>
      <c r="G114" s="181"/>
      <c r="H114" s="181"/>
      <c r="I114" s="181"/>
      <c r="J114" s="181"/>
      <c r="K114" s="181"/>
      <c r="L114" s="181"/>
      <c r="M114" s="181"/>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IF([13]回答表!F17="簡易水道事業",IF([13]回答表!X43="○",[13]回答表!E190,IF([13]回答表!AA43="○",[13]回答表!E238,"")),"")</f>
        <v/>
      </c>
      <c r="BF114" s="83"/>
      <c r="BG114" s="83"/>
      <c r="BH114" s="83"/>
      <c r="BI114" s="82" t="str">
        <f>IF([13]回答表!F17="簡易水道事業",IF([13]回答表!X43="○",[13]回答表!E191,IF([13]回答表!AA43="○",[13]回答表!E239,"")),"")</f>
        <v/>
      </c>
      <c r="BJ114" s="83"/>
      <c r="BK114" s="83"/>
      <c r="BL114" s="83"/>
      <c r="BM114" s="82" t="str">
        <f>IF([13]回答表!F17="簡易水道事業",IF([13]回答表!X43="○",[13]回答表!E192,IF([13]回答表!AA43="○",[13]回答表!E240,"")),"")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88" t="s">
        <v>47</v>
      </c>
      <c r="V116" s="189"/>
      <c r="W116" s="189"/>
      <c r="X116" s="189"/>
      <c r="Y116" s="189"/>
      <c r="Z116" s="189"/>
      <c r="AA116" s="189"/>
      <c r="AB116" s="189"/>
      <c r="AC116" s="189"/>
      <c r="AD116" s="189"/>
      <c r="AE116" s="189"/>
      <c r="AF116" s="189"/>
      <c r="AG116" s="189"/>
      <c r="AH116" s="189"/>
      <c r="AI116" s="189"/>
      <c r="AJ116" s="198"/>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86" t="s">
        <v>26</v>
      </c>
      <c r="E117" s="181"/>
      <c r="F117" s="181"/>
      <c r="G117" s="181"/>
      <c r="H117" s="181"/>
      <c r="I117" s="181"/>
      <c r="J117" s="181"/>
      <c r="K117" s="181"/>
      <c r="L117" s="181"/>
      <c r="M117" s="182"/>
      <c r="N117" s="97" t="str">
        <f>IF([13]回答表!F17="簡易水道事業",IF([13]回答表!AA43="○","○",""),"")</f>
        <v/>
      </c>
      <c r="O117" s="98"/>
      <c r="P117" s="98"/>
      <c r="Q117" s="99"/>
      <c r="R117" s="39"/>
      <c r="S117" s="39"/>
      <c r="T117" s="39"/>
      <c r="U117" s="200"/>
      <c r="V117" s="201"/>
      <c r="W117" s="201"/>
      <c r="X117" s="201"/>
      <c r="Y117" s="201"/>
      <c r="Z117" s="201"/>
      <c r="AA117" s="201"/>
      <c r="AB117" s="201"/>
      <c r="AC117" s="201"/>
      <c r="AD117" s="201"/>
      <c r="AE117" s="201"/>
      <c r="AF117" s="201"/>
      <c r="AG117" s="201"/>
      <c r="AH117" s="201"/>
      <c r="AI117" s="201"/>
      <c r="AJ117" s="202"/>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81"/>
      <c r="E118" s="181"/>
      <c r="F118" s="181"/>
      <c r="G118" s="181"/>
      <c r="H118" s="181"/>
      <c r="I118" s="181"/>
      <c r="J118" s="181"/>
      <c r="K118" s="181"/>
      <c r="L118" s="181"/>
      <c r="M118" s="182"/>
      <c r="N118" s="100"/>
      <c r="O118" s="101"/>
      <c r="P118" s="101"/>
      <c r="Q118" s="102"/>
      <c r="R118" s="39"/>
      <c r="S118" s="39"/>
      <c r="T118" s="39"/>
      <c r="U118" s="118" t="str">
        <f>IF([13]回答表!F17="簡易水道事業",IF([13]回答表!X43="○",[13]回答表!Y182,IF([13]回答表!AA43="○",[13]回答表!Y230,"")),"")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81"/>
      <c r="E119" s="181"/>
      <c r="F119" s="181"/>
      <c r="G119" s="181"/>
      <c r="H119" s="181"/>
      <c r="I119" s="181"/>
      <c r="J119" s="181"/>
      <c r="K119" s="181"/>
      <c r="L119" s="181"/>
      <c r="M119" s="182"/>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81"/>
      <c r="E120" s="181"/>
      <c r="F120" s="181"/>
      <c r="G120" s="181"/>
      <c r="H120" s="181"/>
      <c r="I120" s="181"/>
      <c r="J120" s="181"/>
      <c r="K120" s="181"/>
      <c r="L120" s="181"/>
      <c r="M120" s="182"/>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81" t="s">
        <v>34</v>
      </c>
      <c r="E123" s="181"/>
      <c r="F123" s="181"/>
      <c r="G123" s="181"/>
      <c r="H123" s="181"/>
      <c r="I123" s="181"/>
      <c r="J123" s="181"/>
      <c r="K123" s="181"/>
      <c r="L123" s="181"/>
      <c r="M123" s="182"/>
      <c r="N123" s="97" t="str">
        <f>IF([13]回答表!F17="簡易水道事業",IF([13]回答表!AD43="○","○",""),"")</f>
        <v/>
      </c>
      <c r="O123" s="98"/>
      <c r="P123" s="98"/>
      <c r="Q123" s="99"/>
      <c r="R123" s="39"/>
      <c r="S123" s="39"/>
      <c r="T123" s="39"/>
      <c r="U123" s="106" t="str">
        <f>IF([13]回答表!F17="簡易水道事業",IF([13]回答表!AD43="○",[13]回答表!B249,""),"")</f>
        <v/>
      </c>
      <c r="V123" s="107"/>
      <c r="W123" s="107"/>
      <c r="X123" s="107"/>
      <c r="Y123" s="107"/>
      <c r="Z123" s="107"/>
      <c r="AA123" s="107"/>
      <c r="AB123" s="107"/>
      <c r="AC123" s="107"/>
      <c r="AD123" s="107"/>
      <c r="AE123" s="107"/>
      <c r="AF123" s="107"/>
      <c r="AG123" s="107"/>
      <c r="AH123" s="107"/>
      <c r="AI123" s="107"/>
      <c r="AJ123" s="108"/>
      <c r="AK123" s="56"/>
      <c r="AL123" s="56"/>
      <c r="AM123" s="106" t="str">
        <f>IF([13]回答表!F17="簡易水道事業",IF([13]回答表!AD43="○",[13]回答表!B255,""),"")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81"/>
      <c r="E124" s="181"/>
      <c r="F124" s="181"/>
      <c r="G124" s="181"/>
      <c r="H124" s="181"/>
      <c r="I124" s="181"/>
      <c r="J124" s="181"/>
      <c r="K124" s="181"/>
      <c r="L124" s="181"/>
      <c r="M124" s="182"/>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81"/>
      <c r="E125" s="181"/>
      <c r="F125" s="181"/>
      <c r="G125" s="181"/>
      <c r="H125" s="181"/>
      <c r="I125" s="181"/>
      <c r="J125" s="181"/>
      <c r="K125" s="181"/>
      <c r="L125" s="181"/>
      <c r="M125" s="182"/>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81"/>
      <c r="E126" s="181"/>
      <c r="F126" s="181"/>
      <c r="G126" s="181"/>
      <c r="H126" s="181"/>
      <c r="I126" s="181"/>
      <c r="J126" s="181"/>
      <c r="K126" s="181"/>
      <c r="L126" s="181"/>
      <c r="M126" s="182"/>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62"/>
      <c r="AS129" s="162"/>
      <c r="AT129" s="162"/>
      <c r="AU129" s="162"/>
      <c r="AV129" s="162"/>
      <c r="AW129" s="162"/>
      <c r="AX129" s="162"/>
      <c r="AY129" s="162"/>
      <c r="AZ129" s="162"/>
      <c r="BA129" s="162"/>
      <c r="BB129" s="162"/>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87"/>
      <c r="AS130" s="187"/>
      <c r="AT130" s="187"/>
      <c r="AU130" s="187"/>
      <c r="AV130" s="187"/>
      <c r="AW130" s="187"/>
      <c r="AX130" s="187"/>
      <c r="AY130" s="187"/>
      <c r="AZ130" s="187"/>
      <c r="BA130" s="187"/>
      <c r="BB130" s="187"/>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81" t="s">
        <v>18</v>
      </c>
      <c r="E135" s="181"/>
      <c r="F135" s="181"/>
      <c r="G135" s="181"/>
      <c r="H135" s="181"/>
      <c r="I135" s="181"/>
      <c r="J135" s="181"/>
      <c r="K135" s="181"/>
      <c r="L135" s="181"/>
      <c r="M135" s="181"/>
      <c r="N135" s="97" t="str">
        <f>IF([13]回答表!F17="下水道事業",IF([13]回答表!X43="○","○",""),"")</f>
        <v/>
      </c>
      <c r="O135" s="98"/>
      <c r="P135" s="98"/>
      <c r="Q135" s="99"/>
      <c r="R135" s="39"/>
      <c r="S135" s="39"/>
      <c r="T135" s="39"/>
      <c r="U135" s="188" t="s">
        <v>49</v>
      </c>
      <c r="V135" s="189"/>
      <c r="W135" s="189"/>
      <c r="X135" s="189"/>
      <c r="Y135" s="189"/>
      <c r="Z135" s="189"/>
      <c r="AA135" s="189"/>
      <c r="AB135" s="189"/>
      <c r="AC135" s="188" t="s">
        <v>50</v>
      </c>
      <c r="AD135" s="189"/>
      <c r="AE135" s="189"/>
      <c r="AF135" s="189"/>
      <c r="AG135" s="189"/>
      <c r="AH135" s="189"/>
      <c r="AI135" s="189"/>
      <c r="AJ135" s="198"/>
      <c r="AK135" s="50"/>
      <c r="AL135" s="50"/>
      <c r="AM135" s="106" t="str">
        <f>IF([13]回答表!F17="下水道事業",IF([13]回答表!X43="○",[13]回答表!B154,IF([13]回答表!AA43="○",[13]回答表!B201,"")),"")</f>
        <v/>
      </c>
      <c r="AN135" s="107"/>
      <c r="AO135" s="107"/>
      <c r="AP135" s="107"/>
      <c r="AQ135" s="107"/>
      <c r="AR135" s="107"/>
      <c r="AS135" s="107"/>
      <c r="AT135" s="107"/>
      <c r="AU135" s="107"/>
      <c r="AV135" s="107"/>
      <c r="AW135" s="107"/>
      <c r="AX135" s="107"/>
      <c r="AY135" s="107"/>
      <c r="AZ135" s="107"/>
      <c r="BA135" s="107"/>
      <c r="BB135" s="108"/>
      <c r="BC135" s="40"/>
      <c r="BD135" s="35"/>
      <c r="BE135" s="115" t="str">
        <f>IF([13]回答表!F17="下水道事業",IF([13]回答表!X43="○",[13]回答表!B190,IF([13]回答表!AA43="○",[13]回答表!B238,"")),"")</f>
        <v/>
      </c>
      <c r="BF135" s="116"/>
      <c r="BG135" s="116"/>
      <c r="BH135" s="116"/>
      <c r="BI135" s="115"/>
      <c r="BJ135" s="116"/>
      <c r="BK135" s="116"/>
      <c r="BL135" s="116"/>
      <c r="BM135" s="115"/>
      <c r="BN135" s="116"/>
      <c r="BO135" s="116"/>
      <c r="BP135" s="117"/>
      <c r="BQ135" s="38"/>
    </row>
    <row r="136" spans="3:69" ht="19.350000000000001" customHeight="1" x14ac:dyDescent="0.4">
      <c r="C136" s="33"/>
      <c r="D136" s="181"/>
      <c r="E136" s="181"/>
      <c r="F136" s="181"/>
      <c r="G136" s="181"/>
      <c r="H136" s="181"/>
      <c r="I136" s="181"/>
      <c r="J136" s="181"/>
      <c r="K136" s="181"/>
      <c r="L136" s="181"/>
      <c r="M136" s="181"/>
      <c r="N136" s="100"/>
      <c r="O136" s="101"/>
      <c r="P136" s="101"/>
      <c r="Q136" s="102"/>
      <c r="R136" s="39"/>
      <c r="S136" s="39"/>
      <c r="T136" s="39"/>
      <c r="U136" s="190"/>
      <c r="V136" s="191"/>
      <c r="W136" s="191"/>
      <c r="X136" s="191"/>
      <c r="Y136" s="191"/>
      <c r="Z136" s="191"/>
      <c r="AA136" s="191"/>
      <c r="AB136" s="191"/>
      <c r="AC136" s="190"/>
      <c r="AD136" s="191"/>
      <c r="AE136" s="191"/>
      <c r="AF136" s="191"/>
      <c r="AG136" s="191"/>
      <c r="AH136" s="191"/>
      <c r="AI136" s="191"/>
      <c r="AJ136" s="199"/>
      <c r="AK136" s="50"/>
      <c r="AL136" s="50"/>
      <c r="AM136" s="109"/>
      <c r="AN136" s="110"/>
      <c r="AO136" s="110"/>
      <c r="AP136" s="110"/>
      <c r="AQ136" s="110"/>
      <c r="AR136" s="110"/>
      <c r="AS136" s="110"/>
      <c r="AT136" s="110"/>
      <c r="AU136" s="110"/>
      <c r="AV136" s="110"/>
      <c r="AW136" s="110"/>
      <c r="AX136" s="110"/>
      <c r="AY136" s="110"/>
      <c r="AZ136" s="110"/>
      <c r="BA136" s="110"/>
      <c r="BB136" s="111"/>
      <c r="BC136" s="40"/>
      <c r="BD136" s="35"/>
      <c r="BE136" s="82"/>
      <c r="BF136" s="83"/>
      <c r="BG136" s="83"/>
      <c r="BH136" s="83"/>
      <c r="BI136" s="82"/>
      <c r="BJ136" s="83"/>
      <c r="BK136" s="83"/>
      <c r="BL136" s="83"/>
      <c r="BM136" s="82"/>
      <c r="BN136" s="83"/>
      <c r="BO136" s="83"/>
      <c r="BP136" s="86"/>
      <c r="BQ136" s="38"/>
    </row>
    <row r="137" spans="3:69" ht="15.6" customHeight="1" x14ac:dyDescent="0.4">
      <c r="C137" s="33"/>
      <c r="D137" s="181"/>
      <c r="E137" s="181"/>
      <c r="F137" s="181"/>
      <c r="G137" s="181"/>
      <c r="H137" s="181"/>
      <c r="I137" s="181"/>
      <c r="J137" s="181"/>
      <c r="K137" s="181"/>
      <c r="L137" s="181"/>
      <c r="M137" s="181"/>
      <c r="N137" s="100"/>
      <c r="O137" s="101"/>
      <c r="P137" s="101"/>
      <c r="Q137" s="102"/>
      <c r="R137" s="39"/>
      <c r="S137" s="39"/>
      <c r="T137" s="39"/>
      <c r="U137" s="118" t="str">
        <f>IF([13]回答表!F17="下水道事業",IF([13]回答表!X43="○",[13]回答表!Y184,IF([13]回答表!AA43="○",[13]回答表!Y232,"")),"")</f>
        <v/>
      </c>
      <c r="V137" s="119"/>
      <c r="W137" s="119"/>
      <c r="X137" s="119"/>
      <c r="Y137" s="119"/>
      <c r="Z137" s="119"/>
      <c r="AA137" s="119"/>
      <c r="AB137" s="120"/>
      <c r="AC137" s="118" t="str">
        <f>IF([13]回答表!F17="下水道事業",IF([13]回答表!X43="○",[13]回答表!Y185,IF([13]回答表!AA43="○",[13]回答表!Y233,"")),"")</f>
        <v/>
      </c>
      <c r="AD137" s="119"/>
      <c r="AE137" s="119"/>
      <c r="AF137" s="119"/>
      <c r="AG137" s="119"/>
      <c r="AH137" s="119"/>
      <c r="AI137" s="119"/>
      <c r="AJ137" s="120"/>
      <c r="AK137" s="50"/>
      <c r="AL137" s="50"/>
      <c r="AM137" s="109"/>
      <c r="AN137" s="110"/>
      <c r="AO137" s="110"/>
      <c r="AP137" s="110"/>
      <c r="AQ137" s="110"/>
      <c r="AR137" s="110"/>
      <c r="AS137" s="110"/>
      <c r="AT137" s="110"/>
      <c r="AU137" s="110"/>
      <c r="AV137" s="110"/>
      <c r="AW137" s="110"/>
      <c r="AX137" s="110"/>
      <c r="AY137" s="110"/>
      <c r="AZ137" s="110"/>
      <c r="BA137" s="110"/>
      <c r="BB137" s="111"/>
      <c r="BC137" s="40"/>
      <c r="BD137" s="35"/>
      <c r="BE137" s="82"/>
      <c r="BF137" s="83"/>
      <c r="BG137" s="83"/>
      <c r="BH137" s="83"/>
      <c r="BI137" s="82"/>
      <c r="BJ137" s="83"/>
      <c r="BK137" s="83"/>
      <c r="BL137" s="83"/>
      <c r="BM137" s="82"/>
      <c r="BN137" s="83"/>
      <c r="BO137" s="83"/>
      <c r="BP137" s="86"/>
      <c r="BQ137" s="38"/>
    </row>
    <row r="138" spans="3:69" ht="15.6" customHeight="1" x14ac:dyDescent="0.4">
      <c r="C138" s="33"/>
      <c r="D138" s="181"/>
      <c r="E138" s="181"/>
      <c r="F138" s="181"/>
      <c r="G138" s="181"/>
      <c r="H138" s="181"/>
      <c r="I138" s="181"/>
      <c r="J138" s="181"/>
      <c r="K138" s="181"/>
      <c r="L138" s="181"/>
      <c r="M138" s="181"/>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109"/>
      <c r="AN138" s="110"/>
      <c r="AO138" s="110"/>
      <c r="AP138" s="110"/>
      <c r="AQ138" s="110"/>
      <c r="AR138" s="110"/>
      <c r="AS138" s="110"/>
      <c r="AT138" s="110"/>
      <c r="AU138" s="110"/>
      <c r="AV138" s="110"/>
      <c r="AW138" s="110"/>
      <c r="AX138" s="110"/>
      <c r="AY138" s="110"/>
      <c r="AZ138" s="110"/>
      <c r="BA138" s="110"/>
      <c r="BB138" s="111"/>
      <c r="BC138" s="40"/>
      <c r="BD138" s="35"/>
      <c r="BE138" s="82" t="str">
        <f>IF([13]回答表!F17="下水道事業",IF([13]回答表!X43="○",[13]回答表!E190,IF([13]回答表!AA43="○",[13]回答表!E238,"")),"")</f>
        <v/>
      </c>
      <c r="BF138" s="83"/>
      <c r="BG138" s="83"/>
      <c r="BH138" s="83"/>
      <c r="BI138" s="82" t="str">
        <f>IF([13]回答表!F17="下水道事業",IF([13]回答表!X43="○",[13]回答表!E191,IF([13]回答表!AA43="○",[13]回答表!E239,"")),"")</f>
        <v/>
      </c>
      <c r="BJ138" s="83"/>
      <c r="BK138" s="83"/>
      <c r="BL138" s="83"/>
      <c r="BM138" s="82" t="str">
        <f>IF([13]回答表!F17="下水道事業",IF([13]回答表!X43="○",[13]回答表!E192,IF([13]回答表!AA43="○",[13]回答表!E240,"")),"")</f>
        <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109"/>
      <c r="AN139" s="110"/>
      <c r="AO139" s="110"/>
      <c r="AP139" s="110"/>
      <c r="AQ139" s="110"/>
      <c r="AR139" s="110"/>
      <c r="AS139" s="110"/>
      <c r="AT139" s="110"/>
      <c r="AU139" s="110"/>
      <c r="AV139" s="110"/>
      <c r="AW139" s="110"/>
      <c r="AX139" s="110"/>
      <c r="AY139" s="110"/>
      <c r="AZ139" s="110"/>
      <c r="BA139" s="110"/>
      <c r="BB139" s="111"/>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88" t="s">
        <v>51</v>
      </c>
      <c r="V140" s="189"/>
      <c r="W140" s="189"/>
      <c r="X140" s="189"/>
      <c r="Y140" s="189"/>
      <c r="Z140" s="189"/>
      <c r="AA140" s="189"/>
      <c r="AB140" s="189"/>
      <c r="AC140" s="192" t="s">
        <v>52</v>
      </c>
      <c r="AD140" s="193"/>
      <c r="AE140" s="193"/>
      <c r="AF140" s="193"/>
      <c r="AG140" s="193"/>
      <c r="AH140" s="193"/>
      <c r="AI140" s="193"/>
      <c r="AJ140" s="194"/>
      <c r="AK140" s="50"/>
      <c r="AL140" s="50"/>
      <c r="AM140" s="109"/>
      <c r="AN140" s="110"/>
      <c r="AO140" s="110"/>
      <c r="AP140" s="110"/>
      <c r="AQ140" s="110"/>
      <c r="AR140" s="110"/>
      <c r="AS140" s="110"/>
      <c r="AT140" s="110"/>
      <c r="AU140" s="110"/>
      <c r="AV140" s="110"/>
      <c r="AW140" s="110"/>
      <c r="AX140" s="110"/>
      <c r="AY140" s="110"/>
      <c r="AZ140" s="110"/>
      <c r="BA140" s="110"/>
      <c r="BB140" s="111"/>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86" t="s">
        <v>26</v>
      </c>
      <c r="E141" s="181"/>
      <c r="F141" s="181"/>
      <c r="G141" s="181"/>
      <c r="H141" s="181"/>
      <c r="I141" s="181"/>
      <c r="J141" s="181"/>
      <c r="K141" s="181"/>
      <c r="L141" s="181"/>
      <c r="M141" s="182"/>
      <c r="N141" s="97" t="str">
        <f>IF([13]回答表!F17="下水道事業",IF([13]回答表!AA43="○","○",""),"")</f>
        <v/>
      </c>
      <c r="O141" s="98"/>
      <c r="P141" s="98"/>
      <c r="Q141" s="99"/>
      <c r="R141" s="39"/>
      <c r="S141" s="39"/>
      <c r="T141" s="39"/>
      <c r="U141" s="190"/>
      <c r="V141" s="191"/>
      <c r="W141" s="191"/>
      <c r="X141" s="191"/>
      <c r="Y141" s="191"/>
      <c r="Z141" s="191"/>
      <c r="AA141" s="191"/>
      <c r="AB141" s="191"/>
      <c r="AC141" s="195"/>
      <c r="AD141" s="196"/>
      <c r="AE141" s="196"/>
      <c r="AF141" s="196"/>
      <c r="AG141" s="196"/>
      <c r="AH141" s="196"/>
      <c r="AI141" s="196"/>
      <c r="AJ141" s="197"/>
      <c r="AK141" s="50"/>
      <c r="AL141" s="50"/>
      <c r="AM141" s="109"/>
      <c r="AN141" s="110"/>
      <c r="AO141" s="110"/>
      <c r="AP141" s="110"/>
      <c r="AQ141" s="110"/>
      <c r="AR141" s="110"/>
      <c r="AS141" s="110"/>
      <c r="AT141" s="110"/>
      <c r="AU141" s="110"/>
      <c r="AV141" s="110"/>
      <c r="AW141" s="110"/>
      <c r="AX141" s="110"/>
      <c r="AY141" s="110"/>
      <c r="AZ141" s="110"/>
      <c r="BA141" s="110"/>
      <c r="BB141" s="111"/>
      <c r="BC141" s="40"/>
      <c r="BD141" s="54"/>
      <c r="BE141" s="82"/>
      <c r="BF141" s="83"/>
      <c r="BG141" s="83"/>
      <c r="BH141" s="83"/>
      <c r="BI141" s="82"/>
      <c r="BJ141" s="83"/>
      <c r="BK141" s="83"/>
      <c r="BL141" s="83"/>
      <c r="BM141" s="82"/>
      <c r="BN141" s="83"/>
      <c r="BO141" s="83"/>
      <c r="BP141" s="86"/>
      <c r="BQ141" s="38"/>
    </row>
    <row r="142" spans="3:69" ht="15.6" customHeight="1" x14ac:dyDescent="0.4">
      <c r="C142" s="33"/>
      <c r="D142" s="181"/>
      <c r="E142" s="181"/>
      <c r="F142" s="181"/>
      <c r="G142" s="181"/>
      <c r="H142" s="181"/>
      <c r="I142" s="181"/>
      <c r="J142" s="181"/>
      <c r="K142" s="181"/>
      <c r="L142" s="181"/>
      <c r="M142" s="182"/>
      <c r="N142" s="100"/>
      <c r="O142" s="101"/>
      <c r="P142" s="101"/>
      <c r="Q142" s="102"/>
      <c r="R142" s="39"/>
      <c r="S142" s="39"/>
      <c r="T142" s="39"/>
      <c r="U142" s="118" t="str">
        <f>IF([13]回答表!F17="下水道事業",IF([13]回答表!X43="○",[13]回答表!Y186,IF([13]回答表!AA43="○",[13]回答表!Y234,"")),"")</f>
        <v/>
      </c>
      <c r="V142" s="119"/>
      <c r="W142" s="119"/>
      <c r="X142" s="119"/>
      <c r="Y142" s="119"/>
      <c r="Z142" s="119"/>
      <c r="AA142" s="119"/>
      <c r="AB142" s="120"/>
      <c r="AC142" s="118" t="str">
        <f>IF([13]回答表!F17="下水道事業",IF([13]回答表!X43="○",[13]回答表!Y187,IF([13]回答表!AA43="○",[13]回答表!Y235,"")),"")</f>
        <v/>
      </c>
      <c r="AD142" s="119"/>
      <c r="AE142" s="119"/>
      <c r="AF142" s="119"/>
      <c r="AG142" s="119"/>
      <c r="AH142" s="119"/>
      <c r="AI142" s="119"/>
      <c r="AJ142" s="120"/>
      <c r="AK142" s="50"/>
      <c r="AL142" s="50"/>
      <c r="AM142" s="109"/>
      <c r="AN142" s="110"/>
      <c r="AO142" s="110"/>
      <c r="AP142" s="110"/>
      <c r="AQ142" s="110"/>
      <c r="AR142" s="110"/>
      <c r="AS142" s="110"/>
      <c r="AT142" s="110"/>
      <c r="AU142" s="110"/>
      <c r="AV142" s="110"/>
      <c r="AW142" s="110"/>
      <c r="AX142" s="110"/>
      <c r="AY142" s="110"/>
      <c r="AZ142" s="110"/>
      <c r="BA142" s="110"/>
      <c r="BB142" s="111"/>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81"/>
      <c r="E143" s="181"/>
      <c r="F143" s="181"/>
      <c r="G143" s="181"/>
      <c r="H143" s="181"/>
      <c r="I143" s="181"/>
      <c r="J143" s="181"/>
      <c r="K143" s="181"/>
      <c r="L143" s="181"/>
      <c r="M143" s="182"/>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109"/>
      <c r="AN143" s="110"/>
      <c r="AO143" s="110"/>
      <c r="AP143" s="110"/>
      <c r="AQ143" s="110"/>
      <c r="AR143" s="110"/>
      <c r="AS143" s="110"/>
      <c r="AT143" s="110"/>
      <c r="AU143" s="110"/>
      <c r="AV143" s="110"/>
      <c r="AW143" s="110"/>
      <c r="AX143" s="110"/>
      <c r="AY143" s="110"/>
      <c r="AZ143" s="110"/>
      <c r="BA143" s="110"/>
      <c r="BB143" s="111"/>
      <c r="BC143" s="40"/>
      <c r="BD143" s="54"/>
      <c r="BE143" s="82"/>
      <c r="BF143" s="83"/>
      <c r="BG143" s="83"/>
      <c r="BH143" s="83"/>
      <c r="BI143" s="82"/>
      <c r="BJ143" s="83"/>
      <c r="BK143" s="83"/>
      <c r="BL143" s="83"/>
      <c r="BM143" s="82"/>
      <c r="BN143" s="83"/>
      <c r="BO143" s="83"/>
      <c r="BP143" s="86"/>
      <c r="BQ143" s="38"/>
    </row>
    <row r="144" spans="3:69" ht="15.6" customHeight="1" x14ac:dyDescent="0.4">
      <c r="C144" s="33"/>
      <c r="D144" s="181"/>
      <c r="E144" s="181"/>
      <c r="F144" s="181"/>
      <c r="G144" s="181"/>
      <c r="H144" s="181"/>
      <c r="I144" s="181"/>
      <c r="J144" s="181"/>
      <c r="K144" s="181"/>
      <c r="L144" s="181"/>
      <c r="M144" s="182"/>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112"/>
      <c r="AN144" s="113"/>
      <c r="AO144" s="113"/>
      <c r="AP144" s="113"/>
      <c r="AQ144" s="113"/>
      <c r="AR144" s="113"/>
      <c r="AS144" s="113"/>
      <c r="AT144" s="113"/>
      <c r="AU144" s="113"/>
      <c r="AV144" s="113"/>
      <c r="AW144" s="113"/>
      <c r="AX144" s="113"/>
      <c r="AY144" s="113"/>
      <c r="AZ144" s="113"/>
      <c r="BA144" s="113"/>
      <c r="BB144" s="114"/>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81" t="s">
        <v>34</v>
      </c>
      <c r="E147" s="181"/>
      <c r="F147" s="181"/>
      <c r="G147" s="181"/>
      <c r="H147" s="181"/>
      <c r="I147" s="181"/>
      <c r="J147" s="181"/>
      <c r="K147" s="181"/>
      <c r="L147" s="181"/>
      <c r="M147" s="182"/>
      <c r="N147" s="97" t="str">
        <f>IF([13]回答表!F17="下水道事業",IF([13]回答表!AD43="○","○",""),"")</f>
        <v/>
      </c>
      <c r="O147" s="98"/>
      <c r="P147" s="98"/>
      <c r="Q147" s="99"/>
      <c r="R147" s="39"/>
      <c r="S147" s="39"/>
      <c r="T147" s="39"/>
      <c r="U147" s="106" t="str">
        <f>IF([13]回答表!F17="下水道事業",IF([13]回答表!AD43="○",[13]回答表!B249,""),"")</f>
        <v/>
      </c>
      <c r="V147" s="107"/>
      <c r="W147" s="107"/>
      <c r="X147" s="107"/>
      <c r="Y147" s="107"/>
      <c r="Z147" s="107"/>
      <c r="AA147" s="107"/>
      <c r="AB147" s="107"/>
      <c r="AC147" s="107"/>
      <c r="AD147" s="107"/>
      <c r="AE147" s="107"/>
      <c r="AF147" s="107"/>
      <c r="AG147" s="107"/>
      <c r="AH147" s="107"/>
      <c r="AI147" s="107"/>
      <c r="AJ147" s="108"/>
      <c r="AK147" s="56"/>
      <c r="AL147" s="56"/>
      <c r="AM147" s="106" t="str">
        <f>IF([13]回答表!F17="下水道事業",IF([13]回答表!AD43="○",[13]回答表!B255,""),"")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81"/>
      <c r="E148" s="181"/>
      <c r="F148" s="181"/>
      <c r="G148" s="181"/>
      <c r="H148" s="181"/>
      <c r="I148" s="181"/>
      <c r="J148" s="181"/>
      <c r="K148" s="181"/>
      <c r="L148" s="181"/>
      <c r="M148" s="182"/>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81"/>
      <c r="E149" s="181"/>
      <c r="F149" s="181"/>
      <c r="G149" s="181"/>
      <c r="H149" s="181"/>
      <c r="I149" s="181"/>
      <c r="J149" s="181"/>
      <c r="K149" s="181"/>
      <c r="L149" s="181"/>
      <c r="M149" s="182"/>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81"/>
      <c r="E150" s="181"/>
      <c r="F150" s="181"/>
      <c r="G150" s="181"/>
      <c r="H150" s="181"/>
      <c r="I150" s="181"/>
      <c r="J150" s="181"/>
      <c r="K150" s="181"/>
      <c r="L150" s="181"/>
      <c r="M150" s="182"/>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62"/>
      <c r="AS153" s="162"/>
      <c r="AT153" s="162"/>
      <c r="AU153" s="162"/>
      <c r="AV153" s="162"/>
      <c r="AW153" s="162"/>
      <c r="AX153" s="162"/>
      <c r="AY153" s="162"/>
      <c r="AZ153" s="162"/>
      <c r="BA153" s="162"/>
      <c r="BB153" s="162"/>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87"/>
      <c r="AS154" s="187"/>
      <c r="AT154" s="187"/>
      <c r="AU154" s="187"/>
      <c r="AV154" s="187"/>
      <c r="AW154" s="187"/>
      <c r="AX154" s="187"/>
      <c r="AY154" s="187"/>
      <c r="AZ154" s="187"/>
      <c r="BA154" s="187"/>
      <c r="BB154" s="187"/>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81" t="s">
        <v>18</v>
      </c>
      <c r="E159" s="181"/>
      <c r="F159" s="181"/>
      <c r="G159" s="181"/>
      <c r="H159" s="181"/>
      <c r="I159" s="181"/>
      <c r="J159" s="181"/>
      <c r="K159" s="181"/>
      <c r="L159" s="181"/>
      <c r="M159" s="181"/>
      <c r="N159" s="97" t="str">
        <f>IF([13]回答表!BD17="○",IF([13]回答表!X43="○","○",""),"")</f>
        <v/>
      </c>
      <c r="O159" s="98"/>
      <c r="P159" s="98"/>
      <c r="Q159" s="99"/>
      <c r="R159" s="39"/>
      <c r="S159" s="39"/>
      <c r="T159" s="39"/>
      <c r="U159" s="106" t="str">
        <f>IF([13]回答表!BD17="○",IF([13]回答表!X43="○",[13]回答表!B154,IF([13]回答表!AA43="○",[13]回答表!B201,"")),"")</f>
        <v/>
      </c>
      <c r="V159" s="107"/>
      <c r="W159" s="107"/>
      <c r="X159" s="107"/>
      <c r="Y159" s="107"/>
      <c r="Z159" s="107"/>
      <c r="AA159" s="107"/>
      <c r="AB159" s="107"/>
      <c r="AC159" s="107"/>
      <c r="AD159" s="107"/>
      <c r="AE159" s="107"/>
      <c r="AF159" s="107"/>
      <c r="AG159" s="107"/>
      <c r="AH159" s="107"/>
      <c r="AI159" s="107"/>
      <c r="AJ159" s="108"/>
      <c r="AK159" s="50"/>
      <c r="AL159" s="50"/>
      <c r="AM159" s="115" t="str">
        <f>IF([13]回答表!BD17="○",IF([13]回答表!X43="○",[13]回答表!B190,IF([13]回答表!AA43="○",[13]回答表!B238,"")),"")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81"/>
      <c r="E160" s="181"/>
      <c r="F160" s="181"/>
      <c r="G160" s="181"/>
      <c r="H160" s="181"/>
      <c r="I160" s="181"/>
      <c r="J160" s="181"/>
      <c r="K160" s="181"/>
      <c r="L160" s="181"/>
      <c r="M160" s="181"/>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81"/>
      <c r="E161" s="181"/>
      <c r="F161" s="181"/>
      <c r="G161" s="181"/>
      <c r="H161" s="181"/>
      <c r="I161" s="181"/>
      <c r="J161" s="181"/>
      <c r="K161" s="181"/>
      <c r="L161" s="181"/>
      <c r="M161" s="181"/>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81"/>
      <c r="E162" s="181"/>
      <c r="F162" s="181"/>
      <c r="G162" s="181"/>
      <c r="H162" s="181"/>
      <c r="I162" s="181"/>
      <c r="J162" s="181"/>
      <c r="K162" s="181"/>
      <c r="L162" s="181"/>
      <c r="M162" s="181"/>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IF([13]回答表!BD17="○",IF([13]回答表!X43="○",[13]回答表!E190,IF([13]回答表!AA43="○",[13]回答表!E238,"")),"")</f>
        <v/>
      </c>
      <c r="AN162" s="83"/>
      <c r="AO162" s="83"/>
      <c r="AP162" s="83"/>
      <c r="AQ162" s="82" t="str">
        <f>IF([13]回答表!BD17="○",IF([13]回答表!X43="○",[13]回答表!E191,IF([13]回答表!AA43="○",[13]回答表!E239,"")),"")</f>
        <v/>
      </c>
      <c r="AR162" s="83"/>
      <c r="AS162" s="83"/>
      <c r="AT162" s="83"/>
      <c r="AU162" s="82" t="str">
        <f>IF([13]回答表!BD17="○",IF([13]回答表!X43="○",[13]回答表!E192,IF([13]回答表!AA43="○",[13]回答表!E240,"")),"")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86" t="s">
        <v>26</v>
      </c>
      <c r="E165" s="181"/>
      <c r="F165" s="181"/>
      <c r="G165" s="181"/>
      <c r="H165" s="181"/>
      <c r="I165" s="181"/>
      <c r="J165" s="181"/>
      <c r="K165" s="181"/>
      <c r="L165" s="181"/>
      <c r="M165" s="182"/>
      <c r="N165" s="97" t="str">
        <f>IF([13]回答表!BD17="○",IF([13]回答表!AA43="○","○",""),"")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81"/>
      <c r="E166" s="181"/>
      <c r="F166" s="181"/>
      <c r="G166" s="181"/>
      <c r="H166" s="181"/>
      <c r="I166" s="181"/>
      <c r="J166" s="181"/>
      <c r="K166" s="181"/>
      <c r="L166" s="181"/>
      <c r="M166" s="182"/>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81"/>
      <c r="E167" s="181"/>
      <c r="F167" s="181"/>
      <c r="G167" s="181"/>
      <c r="H167" s="181"/>
      <c r="I167" s="181"/>
      <c r="J167" s="181"/>
      <c r="K167" s="181"/>
      <c r="L167" s="181"/>
      <c r="M167" s="182"/>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81"/>
      <c r="E168" s="181"/>
      <c r="F168" s="181"/>
      <c r="G168" s="181"/>
      <c r="H168" s="181"/>
      <c r="I168" s="181"/>
      <c r="J168" s="181"/>
      <c r="K168" s="181"/>
      <c r="L168" s="181"/>
      <c r="M168" s="182"/>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81" t="s">
        <v>34</v>
      </c>
      <c r="E171" s="181"/>
      <c r="F171" s="181"/>
      <c r="G171" s="181"/>
      <c r="H171" s="181"/>
      <c r="I171" s="181"/>
      <c r="J171" s="181"/>
      <c r="K171" s="181"/>
      <c r="L171" s="181"/>
      <c r="M171" s="182"/>
      <c r="N171" s="97" t="str">
        <f>IF([13]回答表!BD17="○",IF([13]回答表!AD43="○","○",""),"")</f>
        <v/>
      </c>
      <c r="O171" s="98"/>
      <c r="P171" s="98"/>
      <c r="Q171" s="99"/>
      <c r="R171" s="39"/>
      <c r="S171" s="39"/>
      <c r="T171" s="39"/>
      <c r="U171" s="106" t="str">
        <f>IF([13]回答表!BD17="○",IF([13]回答表!AD43="○",[13]回答表!B249,""),"")</f>
        <v/>
      </c>
      <c r="V171" s="107"/>
      <c r="W171" s="107"/>
      <c r="X171" s="107"/>
      <c r="Y171" s="107"/>
      <c r="Z171" s="107"/>
      <c r="AA171" s="107"/>
      <c r="AB171" s="107"/>
      <c r="AC171" s="107"/>
      <c r="AD171" s="107"/>
      <c r="AE171" s="107"/>
      <c r="AF171" s="107"/>
      <c r="AG171" s="107"/>
      <c r="AH171" s="107"/>
      <c r="AI171" s="107"/>
      <c r="AJ171" s="108"/>
      <c r="AK171" s="56"/>
      <c r="AL171" s="56"/>
      <c r="AM171" s="106" t="str">
        <f>IF([13]回答表!BD17="○",IF([13]回答表!AD43="○",[13]回答表!B255,""),"")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81"/>
      <c r="E172" s="181"/>
      <c r="F172" s="181"/>
      <c r="G172" s="181"/>
      <c r="H172" s="181"/>
      <c r="I172" s="181"/>
      <c r="J172" s="181"/>
      <c r="K172" s="181"/>
      <c r="L172" s="181"/>
      <c r="M172" s="182"/>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81"/>
      <c r="E173" s="181"/>
      <c r="F173" s="181"/>
      <c r="G173" s="181"/>
      <c r="H173" s="181"/>
      <c r="I173" s="181"/>
      <c r="J173" s="181"/>
      <c r="K173" s="181"/>
      <c r="L173" s="181"/>
      <c r="M173" s="182"/>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81"/>
      <c r="E174" s="181"/>
      <c r="F174" s="181"/>
      <c r="G174" s="181"/>
      <c r="H174" s="181"/>
      <c r="I174" s="181"/>
      <c r="J174" s="181"/>
      <c r="K174" s="181"/>
      <c r="L174" s="181"/>
      <c r="M174" s="182"/>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62"/>
      <c r="AS177" s="162"/>
      <c r="AT177" s="162"/>
      <c r="AU177" s="162"/>
      <c r="AV177" s="162"/>
      <c r="AW177" s="162"/>
      <c r="AX177" s="162"/>
      <c r="AY177" s="162"/>
      <c r="AZ177" s="162"/>
      <c r="BA177" s="162"/>
      <c r="BB177" s="162"/>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87"/>
      <c r="AS178" s="187"/>
      <c r="AT178" s="187"/>
      <c r="AU178" s="187"/>
      <c r="AV178" s="187"/>
      <c r="AW178" s="187"/>
      <c r="AX178" s="187"/>
      <c r="AY178" s="187"/>
      <c r="AZ178" s="187"/>
      <c r="BA178" s="187"/>
      <c r="BB178" s="187"/>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81" t="s">
        <v>18</v>
      </c>
      <c r="E183" s="181"/>
      <c r="F183" s="181"/>
      <c r="G183" s="181"/>
      <c r="H183" s="181"/>
      <c r="I183" s="181"/>
      <c r="J183" s="181"/>
      <c r="K183" s="181"/>
      <c r="L183" s="181"/>
      <c r="M183" s="181"/>
      <c r="N183" s="97" t="str">
        <f>IF([13]回答表!X44="○","○","")</f>
        <v/>
      </c>
      <c r="O183" s="98"/>
      <c r="P183" s="98"/>
      <c r="Q183" s="99"/>
      <c r="R183" s="39"/>
      <c r="S183" s="39"/>
      <c r="T183" s="39"/>
      <c r="U183" s="106" t="str">
        <f>IF([13]回答表!X44="○",[13]回答表!B266,IF([13]回答表!AA44="○",[13]回答表!B283,""))</f>
        <v/>
      </c>
      <c r="V183" s="107"/>
      <c r="W183" s="107"/>
      <c r="X183" s="107"/>
      <c r="Y183" s="107"/>
      <c r="Z183" s="107"/>
      <c r="AA183" s="107"/>
      <c r="AB183" s="107"/>
      <c r="AC183" s="107"/>
      <c r="AD183" s="107"/>
      <c r="AE183" s="107"/>
      <c r="AF183" s="107"/>
      <c r="AG183" s="107"/>
      <c r="AH183" s="107"/>
      <c r="AI183" s="107"/>
      <c r="AJ183" s="108"/>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IF([13]回答表!X44="○",[13]回答表!U272,IF([13]回答表!AA44="○",[13]回答表!U289,""))</f>
        <v/>
      </c>
      <c r="BF183" s="116"/>
      <c r="BG183" s="116"/>
      <c r="BH183" s="116"/>
      <c r="BI183" s="115"/>
      <c r="BJ183" s="116"/>
      <c r="BK183" s="116"/>
      <c r="BL183" s="116"/>
      <c r="BM183" s="115"/>
      <c r="BN183" s="116"/>
      <c r="BO183" s="116"/>
      <c r="BP183" s="117"/>
      <c r="BQ183" s="38"/>
      <c r="BR183" s="25"/>
    </row>
    <row r="184" spans="3:70" ht="15.6" customHeight="1" x14ac:dyDescent="0.4">
      <c r="C184" s="33"/>
      <c r="D184" s="181"/>
      <c r="E184" s="181"/>
      <c r="F184" s="181"/>
      <c r="G184" s="181"/>
      <c r="H184" s="181"/>
      <c r="I184" s="181"/>
      <c r="J184" s="181"/>
      <c r="K184" s="181"/>
      <c r="L184" s="181"/>
      <c r="M184" s="181"/>
      <c r="N184" s="100"/>
      <c r="O184" s="101"/>
      <c r="P184" s="101"/>
      <c r="Q184" s="102"/>
      <c r="R184" s="39"/>
      <c r="S184" s="39"/>
      <c r="T184" s="39"/>
      <c r="U184" s="109"/>
      <c r="V184" s="110"/>
      <c r="W184" s="110"/>
      <c r="X184" s="110"/>
      <c r="Y184" s="110"/>
      <c r="Z184" s="110"/>
      <c r="AA184" s="110"/>
      <c r="AB184" s="110"/>
      <c r="AC184" s="110"/>
      <c r="AD184" s="110"/>
      <c r="AE184" s="110"/>
      <c r="AF184" s="110"/>
      <c r="AG184" s="110"/>
      <c r="AH184" s="110"/>
      <c r="AI184" s="110"/>
      <c r="AJ184" s="111"/>
      <c r="AK184" s="50"/>
      <c r="AL184" s="50"/>
      <c r="AM184" s="183"/>
      <c r="AN184" s="184"/>
      <c r="AO184" s="184"/>
      <c r="AP184" s="184"/>
      <c r="AQ184" s="184"/>
      <c r="AR184" s="184"/>
      <c r="AS184" s="184"/>
      <c r="AT184" s="185"/>
      <c r="AU184" s="183"/>
      <c r="AV184" s="184"/>
      <c r="AW184" s="184"/>
      <c r="AX184" s="184"/>
      <c r="AY184" s="184"/>
      <c r="AZ184" s="184"/>
      <c r="BA184" s="184"/>
      <c r="BB184" s="185"/>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81"/>
      <c r="E185" s="181"/>
      <c r="F185" s="181"/>
      <c r="G185" s="181"/>
      <c r="H185" s="181"/>
      <c r="I185" s="181"/>
      <c r="J185" s="181"/>
      <c r="K185" s="181"/>
      <c r="L185" s="181"/>
      <c r="M185" s="181"/>
      <c r="N185" s="100"/>
      <c r="O185" s="101"/>
      <c r="P185" s="101"/>
      <c r="Q185" s="102"/>
      <c r="R185" s="39"/>
      <c r="S185" s="39"/>
      <c r="T185" s="39"/>
      <c r="U185" s="109"/>
      <c r="V185" s="110"/>
      <c r="W185" s="110"/>
      <c r="X185" s="110"/>
      <c r="Y185" s="110"/>
      <c r="Z185" s="110"/>
      <c r="AA185" s="110"/>
      <c r="AB185" s="110"/>
      <c r="AC185" s="110"/>
      <c r="AD185" s="110"/>
      <c r="AE185" s="110"/>
      <c r="AF185" s="110"/>
      <c r="AG185" s="110"/>
      <c r="AH185" s="110"/>
      <c r="AI185" s="110"/>
      <c r="AJ185" s="111"/>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81"/>
      <c r="E186" s="181"/>
      <c r="F186" s="181"/>
      <c r="G186" s="181"/>
      <c r="H186" s="181"/>
      <c r="I186" s="181"/>
      <c r="J186" s="181"/>
      <c r="K186" s="181"/>
      <c r="L186" s="181"/>
      <c r="M186" s="181"/>
      <c r="N186" s="103"/>
      <c r="O186" s="104"/>
      <c r="P186" s="104"/>
      <c r="Q186" s="105"/>
      <c r="R186" s="39"/>
      <c r="S186" s="39"/>
      <c r="T186" s="39"/>
      <c r="U186" s="109"/>
      <c r="V186" s="110"/>
      <c r="W186" s="110"/>
      <c r="X186" s="110"/>
      <c r="Y186" s="110"/>
      <c r="Z186" s="110"/>
      <c r="AA186" s="110"/>
      <c r="AB186" s="110"/>
      <c r="AC186" s="110"/>
      <c r="AD186" s="110"/>
      <c r="AE186" s="110"/>
      <c r="AF186" s="110"/>
      <c r="AG186" s="110"/>
      <c r="AH186" s="110"/>
      <c r="AI186" s="110"/>
      <c r="AJ186" s="111"/>
      <c r="AK186" s="50"/>
      <c r="AL186" s="50"/>
      <c r="AM186" s="118" t="str">
        <f>IF([13]回答表!X44="○",[13]回答表!G272,IF([13]回答表!AA44="○",[13]回答表!G289,""))</f>
        <v/>
      </c>
      <c r="AN186" s="119"/>
      <c r="AO186" s="119"/>
      <c r="AP186" s="119"/>
      <c r="AQ186" s="119"/>
      <c r="AR186" s="119"/>
      <c r="AS186" s="119"/>
      <c r="AT186" s="120"/>
      <c r="AU186" s="118" t="str">
        <f>IF([13]回答表!X44="○",[13]回答表!G273,IF([13]回答表!AA44="○",[13]回答表!G290,""))</f>
        <v/>
      </c>
      <c r="AV186" s="119"/>
      <c r="AW186" s="119"/>
      <c r="AX186" s="119"/>
      <c r="AY186" s="119"/>
      <c r="AZ186" s="119"/>
      <c r="BA186" s="119"/>
      <c r="BB186" s="120"/>
      <c r="BC186" s="40"/>
      <c r="BD186" s="35"/>
      <c r="BE186" s="82" t="str">
        <f>IF([13]回答表!X44="○",[13]回答表!X272,IF([13]回答表!AA44="○",[13]回答表!X289,""))</f>
        <v/>
      </c>
      <c r="BF186" s="83"/>
      <c r="BG186" s="83"/>
      <c r="BH186" s="83"/>
      <c r="BI186" s="82" t="str">
        <f>IF([13]回答表!X44="○",[13]回答表!X273,IF([13]回答表!AA44="○",[13]回答表!X290,""))</f>
        <v/>
      </c>
      <c r="BJ186" s="83"/>
      <c r="BK186" s="83"/>
      <c r="BL186" s="86"/>
      <c r="BM186" s="82" t="str">
        <f>IF([13]回答表!X44="○",[13]回答表!X274,IF([13]回答表!AA44="○",[13]回答表!X291,""))</f>
        <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09"/>
      <c r="V187" s="110"/>
      <c r="W187" s="110"/>
      <c r="X187" s="110"/>
      <c r="Y187" s="110"/>
      <c r="Z187" s="110"/>
      <c r="AA187" s="110"/>
      <c r="AB187" s="110"/>
      <c r="AC187" s="110"/>
      <c r="AD187" s="110"/>
      <c r="AE187" s="110"/>
      <c r="AF187" s="110"/>
      <c r="AG187" s="110"/>
      <c r="AH187" s="110"/>
      <c r="AI187" s="110"/>
      <c r="AJ187" s="111"/>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09"/>
      <c r="V188" s="110"/>
      <c r="W188" s="110"/>
      <c r="X188" s="110"/>
      <c r="Y188" s="110"/>
      <c r="Z188" s="110"/>
      <c r="AA188" s="110"/>
      <c r="AB188" s="110"/>
      <c r="AC188" s="110"/>
      <c r="AD188" s="110"/>
      <c r="AE188" s="110"/>
      <c r="AF188" s="110"/>
      <c r="AG188" s="110"/>
      <c r="AH188" s="110"/>
      <c r="AI188" s="110"/>
      <c r="AJ188" s="111"/>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86" t="s">
        <v>26</v>
      </c>
      <c r="E189" s="181"/>
      <c r="F189" s="181"/>
      <c r="G189" s="181"/>
      <c r="H189" s="181"/>
      <c r="I189" s="181"/>
      <c r="J189" s="181"/>
      <c r="K189" s="181"/>
      <c r="L189" s="181"/>
      <c r="M189" s="182"/>
      <c r="N189" s="97" t="str">
        <f>IF([13]回答表!AA44="○","○","")</f>
        <v/>
      </c>
      <c r="O189" s="98"/>
      <c r="P189" s="98"/>
      <c r="Q189" s="99"/>
      <c r="R189" s="39"/>
      <c r="S189" s="39"/>
      <c r="T189" s="39"/>
      <c r="U189" s="109"/>
      <c r="V189" s="110"/>
      <c r="W189" s="110"/>
      <c r="X189" s="110"/>
      <c r="Y189" s="110"/>
      <c r="Z189" s="110"/>
      <c r="AA189" s="110"/>
      <c r="AB189" s="110"/>
      <c r="AC189" s="110"/>
      <c r="AD189" s="110"/>
      <c r="AE189" s="110"/>
      <c r="AF189" s="110"/>
      <c r="AG189" s="110"/>
      <c r="AH189" s="110"/>
      <c r="AI189" s="110"/>
      <c r="AJ189" s="111"/>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81"/>
      <c r="E190" s="181"/>
      <c r="F190" s="181"/>
      <c r="G190" s="181"/>
      <c r="H190" s="181"/>
      <c r="I190" s="181"/>
      <c r="J190" s="181"/>
      <c r="K190" s="181"/>
      <c r="L190" s="181"/>
      <c r="M190" s="182"/>
      <c r="N190" s="100"/>
      <c r="O190" s="101"/>
      <c r="P190" s="101"/>
      <c r="Q190" s="102"/>
      <c r="R190" s="39"/>
      <c r="S190" s="39"/>
      <c r="T190" s="39"/>
      <c r="U190" s="109"/>
      <c r="V190" s="110"/>
      <c r="W190" s="110"/>
      <c r="X190" s="110"/>
      <c r="Y190" s="110"/>
      <c r="Z190" s="110"/>
      <c r="AA190" s="110"/>
      <c r="AB190" s="110"/>
      <c r="AC190" s="110"/>
      <c r="AD190" s="110"/>
      <c r="AE190" s="110"/>
      <c r="AF190" s="110"/>
      <c r="AG190" s="110"/>
      <c r="AH190" s="110"/>
      <c r="AI190" s="110"/>
      <c r="AJ190" s="111"/>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81"/>
      <c r="E191" s="181"/>
      <c r="F191" s="181"/>
      <c r="G191" s="181"/>
      <c r="H191" s="181"/>
      <c r="I191" s="181"/>
      <c r="J191" s="181"/>
      <c r="K191" s="181"/>
      <c r="L191" s="181"/>
      <c r="M191" s="182"/>
      <c r="N191" s="100"/>
      <c r="O191" s="101"/>
      <c r="P191" s="101"/>
      <c r="Q191" s="102"/>
      <c r="R191" s="39"/>
      <c r="S191" s="39"/>
      <c r="T191" s="39"/>
      <c r="U191" s="109"/>
      <c r="V191" s="110"/>
      <c r="W191" s="110"/>
      <c r="X191" s="110"/>
      <c r="Y191" s="110"/>
      <c r="Z191" s="110"/>
      <c r="AA191" s="110"/>
      <c r="AB191" s="110"/>
      <c r="AC191" s="110"/>
      <c r="AD191" s="110"/>
      <c r="AE191" s="110"/>
      <c r="AF191" s="110"/>
      <c r="AG191" s="110"/>
      <c r="AH191" s="110"/>
      <c r="AI191" s="110"/>
      <c r="AJ191" s="111"/>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81"/>
      <c r="E192" s="181"/>
      <c r="F192" s="181"/>
      <c r="G192" s="181"/>
      <c r="H192" s="181"/>
      <c r="I192" s="181"/>
      <c r="J192" s="181"/>
      <c r="K192" s="181"/>
      <c r="L192" s="181"/>
      <c r="M192" s="182"/>
      <c r="N192" s="103"/>
      <c r="O192" s="104"/>
      <c r="P192" s="104"/>
      <c r="Q192" s="105"/>
      <c r="R192" s="39"/>
      <c r="S192" s="39"/>
      <c r="T192" s="39"/>
      <c r="U192" s="112"/>
      <c r="V192" s="113"/>
      <c r="W192" s="113"/>
      <c r="X192" s="113"/>
      <c r="Y192" s="113"/>
      <c r="Z192" s="113"/>
      <c r="AA192" s="113"/>
      <c r="AB192" s="113"/>
      <c r="AC192" s="113"/>
      <c r="AD192" s="113"/>
      <c r="AE192" s="113"/>
      <c r="AF192" s="113"/>
      <c r="AG192" s="113"/>
      <c r="AH192" s="113"/>
      <c r="AI192" s="113"/>
      <c r="AJ192" s="114"/>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81" t="s">
        <v>34</v>
      </c>
      <c r="E195" s="181"/>
      <c r="F195" s="181"/>
      <c r="G195" s="181"/>
      <c r="H195" s="181"/>
      <c r="I195" s="181"/>
      <c r="J195" s="181"/>
      <c r="K195" s="181"/>
      <c r="L195" s="181"/>
      <c r="M195" s="182"/>
      <c r="N195" s="97" t="str">
        <f>IF([13]回答表!AD44="○","○","")</f>
        <v/>
      </c>
      <c r="O195" s="98"/>
      <c r="P195" s="98"/>
      <c r="Q195" s="99"/>
      <c r="R195" s="39"/>
      <c r="S195" s="39"/>
      <c r="T195" s="39"/>
      <c r="U195" s="106" t="str">
        <f>IF([13]回答表!AD44="○",[13]回答表!B296,"")</f>
        <v/>
      </c>
      <c r="V195" s="107"/>
      <c r="W195" s="107"/>
      <c r="X195" s="107"/>
      <c r="Y195" s="107"/>
      <c r="Z195" s="107"/>
      <c r="AA195" s="107"/>
      <c r="AB195" s="107"/>
      <c r="AC195" s="107"/>
      <c r="AD195" s="107"/>
      <c r="AE195" s="107"/>
      <c r="AF195" s="107"/>
      <c r="AG195" s="107"/>
      <c r="AH195" s="107"/>
      <c r="AI195" s="107"/>
      <c r="AJ195" s="108"/>
      <c r="AK195" s="61"/>
      <c r="AL195" s="61"/>
      <c r="AM195" s="106" t="str">
        <f>IF([13]回答表!AD44="○",[13]回答表!B302,"")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81"/>
      <c r="E196" s="181"/>
      <c r="F196" s="181"/>
      <c r="G196" s="181"/>
      <c r="H196" s="181"/>
      <c r="I196" s="181"/>
      <c r="J196" s="181"/>
      <c r="K196" s="181"/>
      <c r="L196" s="181"/>
      <c r="M196" s="182"/>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81"/>
      <c r="E197" s="181"/>
      <c r="F197" s="181"/>
      <c r="G197" s="181"/>
      <c r="H197" s="181"/>
      <c r="I197" s="181"/>
      <c r="J197" s="181"/>
      <c r="K197" s="181"/>
      <c r="L197" s="181"/>
      <c r="M197" s="182"/>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81"/>
      <c r="E198" s="181"/>
      <c r="F198" s="181"/>
      <c r="G198" s="181"/>
      <c r="H198" s="181"/>
      <c r="I198" s="181"/>
      <c r="J198" s="181"/>
      <c r="K198" s="181"/>
      <c r="L198" s="181"/>
      <c r="M198" s="182"/>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62"/>
      <c r="AS201" s="162"/>
      <c r="AT201" s="162"/>
      <c r="AU201" s="162"/>
      <c r="AV201" s="162"/>
      <c r="AW201" s="162"/>
      <c r="AX201" s="162"/>
      <c r="AY201" s="162"/>
      <c r="AZ201" s="162"/>
      <c r="BA201" s="162"/>
      <c r="BB201" s="162"/>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63"/>
      <c r="AS202" s="163"/>
      <c r="AT202" s="163"/>
      <c r="AU202" s="163"/>
      <c r="AV202" s="163"/>
      <c r="AW202" s="163"/>
      <c r="AX202" s="163"/>
      <c r="AY202" s="163"/>
      <c r="AZ202" s="163"/>
      <c r="BA202" s="163"/>
      <c r="BB202" s="163"/>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IF([13]回答表!X45="○","○","")</f>
        <v/>
      </c>
      <c r="O207" s="98"/>
      <c r="P207" s="98"/>
      <c r="Q207" s="99"/>
      <c r="R207" s="39"/>
      <c r="S207" s="39"/>
      <c r="T207" s="39"/>
      <c r="U207" s="106" t="str">
        <f>IF([13]回答表!X45="○",[13]回答表!B314,IF([13]回答表!AA45="○",[13]回答表!B337,""))</f>
        <v/>
      </c>
      <c r="V207" s="107"/>
      <c r="W207" s="107"/>
      <c r="X207" s="107"/>
      <c r="Y207" s="107"/>
      <c r="Z207" s="107"/>
      <c r="AA207" s="107"/>
      <c r="AB207" s="107"/>
      <c r="AC207" s="107"/>
      <c r="AD207" s="107"/>
      <c r="AE207" s="107"/>
      <c r="AF207" s="107"/>
      <c r="AG207" s="107"/>
      <c r="AH207" s="107"/>
      <c r="AI207" s="107"/>
      <c r="AJ207" s="108"/>
      <c r="AK207" s="50"/>
      <c r="AL207" s="50"/>
      <c r="AM207" s="50"/>
      <c r="AN207" s="106" t="str">
        <f>IF([13]回答表!X45="○",[13]回答表!B320,"")</f>
        <v/>
      </c>
      <c r="AO207" s="173"/>
      <c r="AP207" s="173"/>
      <c r="AQ207" s="173"/>
      <c r="AR207" s="173"/>
      <c r="AS207" s="173"/>
      <c r="AT207" s="173"/>
      <c r="AU207" s="173"/>
      <c r="AV207" s="173"/>
      <c r="AW207" s="173"/>
      <c r="AX207" s="173"/>
      <c r="AY207" s="173"/>
      <c r="AZ207" s="173"/>
      <c r="BA207" s="173"/>
      <c r="BB207" s="174"/>
      <c r="BC207" s="40"/>
      <c r="BD207" s="35"/>
      <c r="BE207" s="115" t="str">
        <f>IF([13]回答表!X45="○",[13]回答表!B326,IF([13]回答表!AA45="○",[13]回答表!B343,""))</f>
        <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75"/>
      <c r="AO208" s="176"/>
      <c r="AP208" s="176"/>
      <c r="AQ208" s="176"/>
      <c r="AR208" s="176"/>
      <c r="AS208" s="176"/>
      <c r="AT208" s="176"/>
      <c r="AU208" s="176"/>
      <c r="AV208" s="176"/>
      <c r="AW208" s="176"/>
      <c r="AX208" s="176"/>
      <c r="AY208" s="176"/>
      <c r="AZ208" s="176"/>
      <c r="BA208" s="176"/>
      <c r="BB208" s="177"/>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75"/>
      <c r="AO209" s="176"/>
      <c r="AP209" s="176"/>
      <c r="AQ209" s="176"/>
      <c r="AR209" s="176"/>
      <c r="AS209" s="176"/>
      <c r="AT209" s="176"/>
      <c r="AU209" s="176"/>
      <c r="AV209" s="176"/>
      <c r="AW209" s="176"/>
      <c r="AX209" s="176"/>
      <c r="AY209" s="176"/>
      <c r="AZ209" s="176"/>
      <c r="BA209" s="176"/>
      <c r="BB209" s="177"/>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75"/>
      <c r="AO210" s="176"/>
      <c r="AP210" s="176"/>
      <c r="AQ210" s="176"/>
      <c r="AR210" s="176"/>
      <c r="AS210" s="176"/>
      <c r="AT210" s="176"/>
      <c r="AU210" s="176"/>
      <c r="AV210" s="176"/>
      <c r="AW210" s="176"/>
      <c r="AX210" s="176"/>
      <c r="AY210" s="176"/>
      <c r="AZ210" s="176"/>
      <c r="BA210" s="176"/>
      <c r="BB210" s="177"/>
      <c r="BC210" s="40"/>
      <c r="BD210" s="35"/>
      <c r="BE210" s="82" t="str">
        <f>IF([13]回答表!X45="○",[13]回答表!E326,IF([13]回答表!AA45="○",[13]回答表!E343,""))</f>
        <v/>
      </c>
      <c r="BF210" s="83"/>
      <c r="BG210" s="83"/>
      <c r="BH210" s="83"/>
      <c r="BI210" s="82" t="str">
        <f>IF([13]回答表!X45="○",[13]回答表!E327,IF([13]回答表!AA45="○",[13]回答表!E344,""))</f>
        <v/>
      </c>
      <c r="BJ210" s="83"/>
      <c r="BK210" s="83"/>
      <c r="BL210" s="86"/>
      <c r="BM210" s="82" t="str">
        <f>IF([13]回答表!X45="○",[13]回答表!E328,IF([13]回答表!AA45="○",[13]回答表!E345,""))</f>
        <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75"/>
      <c r="AO211" s="176"/>
      <c r="AP211" s="176"/>
      <c r="AQ211" s="176"/>
      <c r="AR211" s="176"/>
      <c r="AS211" s="176"/>
      <c r="AT211" s="176"/>
      <c r="AU211" s="176"/>
      <c r="AV211" s="176"/>
      <c r="AW211" s="176"/>
      <c r="AX211" s="176"/>
      <c r="AY211" s="176"/>
      <c r="AZ211" s="176"/>
      <c r="BA211" s="176"/>
      <c r="BB211" s="177"/>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75"/>
      <c r="AO212" s="176"/>
      <c r="AP212" s="176"/>
      <c r="AQ212" s="176"/>
      <c r="AR212" s="176"/>
      <c r="AS212" s="176"/>
      <c r="AT212" s="176"/>
      <c r="AU212" s="176"/>
      <c r="AV212" s="176"/>
      <c r="AW212" s="176"/>
      <c r="AX212" s="176"/>
      <c r="AY212" s="176"/>
      <c r="AZ212" s="176"/>
      <c r="BA212" s="176"/>
      <c r="BB212" s="177"/>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IF([13]回答表!AA45="○","○","")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75"/>
      <c r="AO213" s="176"/>
      <c r="AP213" s="176"/>
      <c r="AQ213" s="176"/>
      <c r="AR213" s="176"/>
      <c r="AS213" s="176"/>
      <c r="AT213" s="176"/>
      <c r="AU213" s="176"/>
      <c r="AV213" s="176"/>
      <c r="AW213" s="176"/>
      <c r="AX213" s="176"/>
      <c r="AY213" s="176"/>
      <c r="AZ213" s="176"/>
      <c r="BA213" s="176"/>
      <c r="BB213" s="177"/>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75"/>
      <c r="AO214" s="176"/>
      <c r="AP214" s="176"/>
      <c r="AQ214" s="176"/>
      <c r="AR214" s="176"/>
      <c r="AS214" s="176"/>
      <c r="AT214" s="176"/>
      <c r="AU214" s="176"/>
      <c r="AV214" s="176"/>
      <c r="AW214" s="176"/>
      <c r="AX214" s="176"/>
      <c r="AY214" s="176"/>
      <c r="AZ214" s="176"/>
      <c r="BA214" s="176"/>
      <c r="BB214" s="177"/>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75"/>
      <c r="AO215" s="176"/>
      <c r="AP215" s="176"/>
      <c r="AQ215" s="176"/>
      <c r="AR215" s="176"/>
      <c r="AS215" s="176"/>
      <c r="AT215" s="176"/>
      <c r="AU215" s="176"/>
      <c r="AV215" s="176"/>
      <c r="AW215" s="176"/>
      <c r="AX215" s="176"/>
      <c r="AY215" s="176"/>
      <c r="AZ215" s="176"/>
      <c r="BA215" s="176"/>
      <c r="BB215" s="177"/>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78"/>
      <c r="AO216" s="179"/>
      <c r="AP216" s="179"/>
      <c r="AQ216" s="179"/>
      <c r="AR216" s="179"/>
      <c r="AS216" s="179"/>
      <c r="AT216" s="179"/>
      <c r="AU216" s="179"/>
      <c r="AV216" s="179"/>
      <c r="AW216" s="179"/>
      <c r="AX216" s="179"/>
      <c r="AY216" s="179"/>
      <c r="AZ216" s="179"/>
      <c r="BA216" s="179"/>
      <c r="BB216" s="180"/>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IF([13]回答表!AD45="○","○","")</f>
        <v/>
      </c>
      <c r="O219" s="98"/>
      <c r="P219" s="98"/>
      <c r="Q219" s="99"/>
      <c r="R219" s="39"/>
      <c r="S219" s="39"/>
      <c r="T219" s="39"/>
      <c r="U219" s="106" t="str">
        <f>IF([13]回答表!AD45="○",[13]回答表!B350,"")</f>
        <v/>
      </c>
      <c r="V219" s="107"/>
      <c r="W219" s="107"/>
      <c r="X219" s="107"/>
      <c r="Y219" s="107"/>
      <c r="Z219" s="107"/>
      <c r="AA219" s="107"/>
      <c r="AB219" s="107"/>
      <c r="AC219" s="107"/>
      <c r="AD219" s="107"/>
      <c r="AE219" s="107"/>
      <c r="AF219" s="107"/>
      <c r="AG219" s="107"/>
      <c r="AH219" s="107"/>
      <c r="AI219" s="107"/>
      <c r="AJ219" s="108"/>
      <c r="AK219" s="61"/>
      <c r="AL219" s="61"/>
      <c r="AM219" s="106" t="str">
        <f>IF([13]回答表!AD45="○",[13]回答表!B356,"")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62"/>
      <c r="AS225" s="162"/>
      <c r="AT225" s="162"/>
      <c r="AU225" s="162"/>
      <c r="AV225" s="162"/>
      <c r="AW225" s="162"/>
      <c r="AX225" s="162"/>
      <c r="AY225" s="162"/>
      <c r="AZ225" s="162"/>
      <c r="BA225" s="162"/>
      <c r="BB225" s="162"/>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63"/>
      <c r="AS226" s="163"/>
      <c r="AT226" s="163"/>
      <c r="AU226" s="163"/>
      <c r="AV226" s="163"/>
      <c r="AW226" s="163"/>
      <c r="AX226" s="163"/>
      <c r="AY226" s="163"/>
      <c r="AZ226" s="163"/>
      <c r="BA226" s="163"/>
      <c r="BB226" s="163"/>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IF([13]回答表!X46="○","○","")</f>
        <v/>
      </c>
      <c r="O231" s="98"/>
      <c r="P231" s="98"/>
      <c r="Q231" s="99"/>
      <c r="R231" s="39"/>
      <c r="S231" s="39"/>
      <c r="T231" s="39"/>
      <c r="U231" s="106" t="str">
        <f>IF([13]回答表!X46="○",[13]回答表!B368,IF([13]回答表!AA46="○",[13]回答表!B382,""))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IF([13]回答表!X46="○",[13]回答表!BC375,IF([13]回答表!AA46="○",[13]回答表!BC389,""))</f>
        <v/>
      </c>
      <c r="AR231" s="150"/>
      <c r="AS231" s="150"/>
      <c r="AT231" s="150"/>
      <c r="AU231" s="164" t="s">
        <v>63</v>
      </c>
      <c r="AV231" s="165"/>
      <c r="AW231" s="165"/>
      <c r="AX231" s="166"/>
      <c r="AY231" s="150" t="str">
        <f>IF([13]回答表!X46="○",[13]回答表!BC380,IF([13]回答表!AA46="○",[13]回答表!BC394,""))</f>
        <v/>
      </c>
      <c r="AZ231" s="150"/>
      <c r="BA231" s="150"/>
      <c r="BB231" s="150"/>
      <c r="BC231" s="40"/>
      <c r="BD231" s="35"/>
      <c r="BE231" s="115" t="str">
        <f>IF([13]回答表!X46="○",[13]回答表!S374,IF([13]回答表!AA46="○",[13]回答表!S388,""))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67"/>
      <c r="AV232" s="168"/>
      <c r="AW232" s="168"/>
      <c r="AX232" s="169"/>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IF([13]回答表!X46="○",[13]回答表!BC376,IF([13]回答表!AA46="○",[13]回答表!BC390,""))</f>
        <v/>
      </c>
      <c r="AR233" s="150"/>
      <c r="AS233" s="150"/>
      <c r="AT233" s="150"/>
      <c r="AU233" s="167"/>
      <c r="AV233" s="168"/>
      <c r="AW233" s="168"/>
      <c r="AX233" s="169"/>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67"/>
      <c r="AV234" s="168"/>
      <c r="AW234" s="168"/>
      <c r="AX234" s="169"/>
      <c r="AY234" s="150"/>
      <c r="AZ234" s="150"/>
      <c r="BA234" s="150"/>
      <c r="BB234" s="150"/>
      <c r="BC234" s="40"/>
      <c r="BD234" s="35"/>
      <c r="BE234" s="82" t="str">
        <f>IF([13]回答表!X46="○",[13]回答表!V374,IF([13]回答表!AA46="○",[13]回答表!V388,""))</f>
        <v/>
      </c>
      <c r="BF234" s="83"/>
      <c r="BG234" s="83"/>
      <c r="BH234" s="83"/>
      <c r="BI234" s="82" t="str">
        <f>IF([13]回答表!X46="○",[13]回答表!V375,IF([13]回答表!AA46="○",[13]回答表!V389,""))</f>
        <v/>
      </c>
      <c r="BJ234" s="83"/>
      <c r="BK234" s="83"/>
      <c r="BL234" s="86"/>
      <c r="BM234" s="82" t="str">
        <f>IF([13]回答表!X46="○",[13]回答表!V376,IF([13]回答表!AA46="○",[13]回答表!V390,""))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IF([13]回答表!X46="○",[13]回答表!BC377,IF([13]回答表!AA46="○",[13]回答表!BC391,""))</f>
        <v/>
      </c>
      <c r="AR235" s="150"/>
      <c r="AS235" s="150"/>
      <c r="AT235" s="150"/>
      <c r="AU235" s="170"/>
      <c r="AV235" s="171"/>
      <c r="AW235" s="171"/>
      <c r="AX235" s="172"/>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60" t="str">
        <f>IF([13]回答表!X46="○",[13]回答表!BC381,IF([13]回答表!AA46="○",[13]回答表!BC395,""))</f>
        <v/>
      </c>
      <c r="AZ236" s="160"/>
      <c r="BA236" s="160"/>
      <c r="BB236" s="160"/>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IF([13]回答表!AA46="○","○","")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61" t="str">
        <f>IF([13]回答表!X46="○",[13]回答表!BC378,IF([13]回答表!AA46="○",[13]回答表!BC392,""))</f>
        <v/>
      </c>
      <c r="AR237" s="150"/>
      <c r="AS237" s="150"/>
      <c r="AT237" s="150"/>
      <c r="AU237" s="149"/>
      <c r="AV237" s="149"/>
      <c r="AW237" s="149"/>
      <c r="AX237" s="149"/>
      <c r="AY237" s="160"/>
      <c r="AZ237" s="160"/>
      <c r="BA237" s="160"/>
      <c r="BB237" s="160"/>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60"/>
      <c r="AZ238" s="160"/>
      <c r="BA238" s="160"/>
      <c r="BB238" s="160"/>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IF([13]回答表!X46="○",[13]回答表!BC379,IF([13]回答表!AA46="○",[13]回答表!BC393,""))</f>
        <v/>
      </c>
      <c r="AR239" s="150"/>
      <c r="AS239" s="150"/>
      <c r="AT239" s="150"/>
      <c r="AU239" s="149"/>
      <c r="AV239" s="149"/>
      <c r="AW239" s="149"/>
      <c r="AX239" s="149"/>
      <c r="AY239" s="160"/>
      <c r="AZ239" s="160"/>
      <c r="BA239" s="160"/>
      <c r="BB239" s="160"/>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60"/>
      <c r="AZ240" s="160"/>
      <c r="BA240" s="160"/>
      <c r="BB240" s="160"/>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IF([13]回答表!AD46="○","○","")</f>
        <v/>
      </c>
      <c r="O243" s="98"/>
      <c r="P243" s="98"/>
      <c r="Q243" s="99"/>
      <c r="R243" s="39"/>
      <c r="S243" s="39"/>
      <c r="T243" s="39"/>
      <c r="U243" s="106" t="str">
        <f>IF([13]回答表!AD46="○",[13]回答表!B396,"")</f>
        <v/>
      </c>
      <c r="V243" s="107"/>
      <c r="W243" s="107"/>
      <c r="X243" s="107"/>
      <c r="Y243" s="107"/>
      <c r="Z243" s="107"/>
      <c r="AA243" s="107"/>
      <c r="AB243" s="107"/>
      <c r="AC243" s="107"/>
      <c r="AD243" s="107"/>
      <c r="AE243" s="107"/>
      <c r="AF243" s="107"/>
      <c r="AG243" s="107"/>
      <c r="AH243" s="107"/>
      <c r="AI243" s="107"/>
      <c r="AJ243" s="108"/>
      <c r="AK243" s="56"/>
      <c r="AL243" s="56"/>
      <c r="AM243" s="106" t="str">
        <f>IF([13]回答表!AD46="○",[13]回答表!B402,"")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IF([13]回答表!X47="○","○","")</f>
        <v/>
      </c>
      <c r="O254" s="98"/>
      <c r="P254" s="98"/>
      <c r="Q254" s="99"/>
      <c r="R254" s="39"/>
      <c r="S254" s="39"/>
      <c r="T254" s="39"/>
      <c r="U254" s="106" t="str">
        <f>IF([13]回答表!X47="○",[13]回答表!B414,IF([13]回答表!AA47="○",[13]回答表!B431,""))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IF([13]回答表!X47="○",[13]回答表!B424,IF([13]回答表!AA47="○",[13]回答表!B441,""))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IF([13]回答表!X47="○",[13]回答表!G420,IF([13]回答表!AA47="○",[13]回答表!G437,""))</f>
        <v/>
      </c>
      <c r="AN256" s="119"/>
      <c r="AO256" s="119"/>
      <c r="AP256" s="119"/>
      <c r="AQ256" s="119"/>
      <c r="AR256" s="119"/>
      <c r="AS256" s="119"/>
      <c r="AT256" s="120"/>
      <c r="AU256" s="118" t="str">
        <f>IF([13]回答表!X47="○",[13]回答表!G421,IF([13]回答表!AA47="○",[13]回答表!G438,""))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IF([13]回答表!X47="○",[13]回答表!E424,IF([13]回答表!AA47="○",[13]回答表!E441,""))</f>
        <v/>
      </c>
      <c r="BF257" s="83"/>
      <c r="BG257" s="83"/>
      <c r="BH257" s="83"/>
      <c r="BI257" s="82" t="str">
        <f>IF([13]回答表!X47="○",[13]回答表!E425,IF([13]回答表!AA47="○",[13]回答表!E442,""))</f>
        <v/>
      </c>
      <c r="BJ257" s="83"/>
      <c r="BK257" s="83"/>
      <c r="BL257" s="86"/>
      <c r="BM257" s="82" t="str">
        <f>IF([13]回答表!X47="○",[13]回答表!E426,IF([13]回答表!AA47="○",[13]回答表!E443,""))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IF([13]回答表!AA47="○","○","")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IF([13]回答表!AD47="○","○","")</f>
        <v/>
      </c>
      <c r="O266" s="98"/>
      <c r="P266" s="98"/>
      <c r="Q266" s="99"/>
      <c r="R266" s="39"/>
      <c r="S266" s="39"/>
      <c r="T266" s="39"/>
      <c r="U266" s="106" t="str">
        <f>IF([13]回答表!AD47="○",[13]回答表!B448,"")</f>
        <v/>
      </c>
      <c r="V266" s="107"/>
      <c r="W266" s="107"/>
      <c r="X266" s="107"/>
      <c r="Y266" s="107"/>
      <c r="Z266" s="107"/>
      <c r="AA266" s="107"/>
      <c r="AB266" s="107"/>
      <c r="AC266" s="107"/>
      <c r="AD266" s="107"/>
      <c r="AE266" s="107"/>
      <c r="AF266" s="107"/>
      <c r="AG266" s="107"/>
      <c r="AH266" s="107"/>
      <c r="AI266" s="107"/>
      <c r="AJ266" s="108"/>
      <c r="AK266" s="50"/>
      <c r="AL266" s="50"/>
      <c r="AM266" s="106" t="str">
        <f>IF([13]回答表!AD47="○",[13]回答表!B454,"")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IF([13]回答表!R48="○",[13]回答表!B467,"")</f>
        <v>　過去に抜本的な改革の方向性の検討を行ったものの、現行の体制が望ましいとの結論で現在に至っている。
　昨今の近隣医療機関の診療体制の縮小などからも、地域医療圏の将来の医療需要を見据えると、地域の中核病院として救急医療体制の強化や医療機能の維持は必要であり、他病院との機能分化・連携を図りながら、収益の確保に努め安定経営を目指す。</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2"/>
  <conditionalFormatting sqref="A29:XFD30 A28:BI28 BR28:XFD28">
    <cfRule type="expression" dxfId="10"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2FD40-F052-4897-8CFF-E98B457E47E8}">
  <sheetPr>
    <pageSetUpPr fitToPage="1"/>
  </sheetPr>
  <dimension ref="A1:CE298"/>
  <sheetViews>
    <sheetView showZeros="0" zoomScale="55" zoomScaleNormal="55" workbookViewId="0">
      <selection activeCell="CA248" sqref="CA248"/>
    </sheetView>
  </sheetViews>
  <sheetFormatPr defaultColWidth="2.875" defaultRowHeight="12.6" customHeight="1" x14ac:dyDescent="0.4"/>
  <cols>
    <col min="1" max="70" width="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63" t="s">
        <v>0</v>
      </c>
      <c r="D8" s="264"/>
      <c r="E8" s="264"/>
      <c r="F8" s="264"/>
      <c r="G8" s="264"/>
      <c r="H8" s="264"/>
      <c r="I8" s="264"/>
      <c r="J8" s="264"/>
      <c r="K8" s="264"/>
      <c r="L8" s="264"/>
      <c r="M8" s="264"/>
      <c r="N8" s="264"/>
      <c r="O8" s="264"/>
      <c r="P8" s="264"/>
      <c r="Q8" s="264"/>
      <c r="R8" s="264"/>
      <c r="S8" s="264"/>
      <c r="T8" s="264"/>
      <c r="U8" s="265" t="s">
        <v>1</v>
      </c>
      <c r="V8" s="266"/>
      <c r="W8" s="266"/>
      <c r="X8" s="266"/>
      <c r="Y8" s="266"/>
      <c r="Z8" s="266"/>
      <c r="AA8" s="266"/>
      <c r="AB8" s="266"/>
      <c r="AC8" s="266"/>
      <c r="AD8" s="266"/>
      <c r="AE8" s="266"/>
      <c r="AF8" s="266"/>
      <c r="AG8" s="266"/>
      <c r="AH8" s="266"/>
      <c r="AI8" s="266"/>
      <c r="AJ8" s="266"/>
      <c r="AK8" s="266"/>
      <c r="AL8" s="266"/>
      <c r="AM8" s="266"/>
      <c r="AN8" s="267"/>
      <c r="AO8" s="268" t="s">
        <v>2</v>
      </c>
      <c r="AP8" s="266"/>
      <c r="AQ8" s="266"/>
      <c r="AR8" s="266"/>
      <c r="AS8" s="266"/>
      <c r="AT8" s="266"/>
      <c r="AU8" s="266"/>
      <c r="AV8" s="266"/>
      <c r="AW8" s="266"/>
      <c r="AX8" s="266"/>
      <c r="AY8" s="266"/>
      <c r="AZ8" s="266"/>
      <c r="BA8" s="266"/>
      <c r="BB8" s="266"/>
      <c r="BC8" s="266"/>
      <c r="BD8" s="266"/>
      <c r="BE8" s="267"/>
      <c r="BF8" s="263" t="s">
        <v>3</v>
      </c>
      <c r="BG8" s="269"/>
      <c r="BH8" s="269"/>
      <c r="BI8" s="269"/>
      <c r="BJ8" s="269"/>
      <c r="BK8" s="269"/>
      <c r="BL8" s="269"/>
      <c r="BM8" s="269"/>
      <c r="BN8" s="269"/>
      <c r="BO8" s="269"/>
      <c r="BP8" s="269"/>
      <c r="BQ8" s="8"/>
    </row>
    <row r="9" spans="3:70" ht="15.6" customHeight="1" x14ac:dyDescent="0.4">
      <c r="C9" s="264"/>
      <c r="D9" s="264"/>
      <c r="E9" s="264"/>
      <c r="F9" s="264"/>
      <c r="G9" s="264"/>
      <c r="H9" s="264"/>
      <c r="I9" s="264"/>
      <c r="J9" s="264"/>
      <c r="K9" s="264"/>
      <c r="L9" s="264"/>
      <c r="M9" s="264"/>
      <c r="N9" s="264"/>
      <c r="O9" s="264"/>
      <c r="P9" s="264"/>
      <c r="Q9" s="264"/>
      <c r="R9" s="264"/>
      <c r="S9" s="264"/>
      <c r="T9" s="264"/>
      <c r="U9" s="219"/>
      <c r="V9" s="217"/>
      <c r="W9" s="217"/>
      <c r="X9" s="217"/>
      <c r="Y9" s="217"/>
      <c r="Z9" s="217"/>
      <c r="AA9" s="217"/>
      <c r="AB9" s="217"/>
      <c r="AC9" s="217"/>
      <c r="AD9" s="217"/>
      <c r="AE9" s="217"/>
      <c r="AF9" s="217"/>
      <c r="AG9" s="217"/>
      <c r="AH9" s="217"/>
      <c r="AI9" s="217"/>
      <c r="AJ9" s="217"/>
      <c r="AK9" s="217"/>
      <c r="AL9" s="217"/>
      <c r="AM9" s="217"/>
      <c r="AN9" s="218"/>
      <c r="AO9" s="219"/>
      <c r="AP9" s="217"/>
      <c r="AQ9" s="217"/>
      <c r="AR9" s="217"/>
      <c r="AS9" s="217"/>
      <c r="AT9" s="217"/>
      <c r="AU9" s="217"/>
      <c r="AV9" s="217"/>
      <c r="AW9" s="217"/>
      <c r="AX9" s="217"/>
      <c r="AY9" s="217"/>
      <c r="AZ9" s="217"/>
      <c r="BA9" s="217"/>
      <c r="BB9" s="217"/>
      <c r="BC9" s="217"/>
      <c r="BD9" s="217"/>
      <c r="BE9" s="218"/>
      <c r="BF9" s="269"/>
      <c r="BG9" s="269"/>
      <c r="BH9" s="269"/>
      <c r="BI9" s="269"/>
      <c r="BJ9" s="269"/>
      <c r="BK9" s="269"/>
      <c r="BL9" s="269"/>
      <c r="BM9" s="269"/>
      <c r="BN9" s="269"/>
      <c r="BO9" s="269"/>
      <c r="BP9" s="269"/>
      <c r="BQ9" s="8"/>
    </row>
    <row r="10" spans="3:70" ht="15.6" customHeight="1" x14ac:dyDescent="0.4">
      <c r="C10" s="264"/>
      <c r="D10" s="264"/>
      <c r="E10" s="264"/>
      <c r="F10" s="264"/>
      <c r="G10" s="264"/>
      <c r="H10" s="264"/>
      <c r="I10" s="264"/>
      <c r="J10" s="264"/>
      <c r="K10" s="264"/>
      <c r="L10" s="264"/>
      <c r="M10" s="264"/>
      <c r="N10" s="264"/>
      <c r="O10" s="264"/>
      <c r="P10" s="264"/>
      <c r="Q10" s="264"/>
      <c r="R10" s="264"/>
      <c r="S10" s="264"/>
      <c r="T10" s="264"/>
      <c r="U10" s="220"/>
      <c r="V10" s="221"/>
      <c r="W10" s="221"/>
      <c r="X10" s="221"/>
      <c r="Y10" s="221"/>
      <c r="Z10" s="221"/>
      <c r="AA10" s="221"/>
      <c r="AB10" s="221"/>
      <c r="AC10" s="221"/>
      <c r="AD10" s="221"/>
      <c r="AE10" s="221"/>
      <c r="AF10" s="221"/>
      <c r="AG10" s="221"/>
      <c r="AH10" s="221"/>
      <c r="AI10" s="221"/>
      <c r="AJ10" s="221"/>
      <c r="AK10" s="221"/>
      <c r="AL10" s="221"/>
      <c r="AM10" s="221"/>
      <c r="AN10" s="222"/>
      <c r="AO10" s="220"/>
      <c r="AP10" s="221"/>
      <c r="AQ10" s="221"/>
      <c r="AR10" s="221"/>
      <c r="AS10" s="221"/>
      <c r="AT10" s="221"/>
      <c r="AU10" s="221"/>
      <c r="AV10" s="221"/>
      <c r="AW10" s="221"/>
      <c r="AX10" s="221"/>
      <c r="AY10" s="221"/>
      <c r="AZ10" s="221"/>
      <c r="BA10" s="221"/>
      <c r="BB10" s="221"/>
      <c r="BC10" s="221"/>
      <c r="BD10" s="221"/>
      <c r="BE10" s="222"/>
      <c r="BF10" s="269"/>
      <c r="BG10" s="269"/>
      <c r="BH10" s="269"/>
      <c r="BI10" s="269"/>
      <c r="BJ10" s="269"/>
      <c r="BK10" s="269"/>
      <c r="BL10" s="269"/>
      <c r="BM10" s="269"/>
      <c r="BN10" s="269"/>
      <c r="BO10" s="269"/>
      <c r="BP10" s="269"/>
      <c r="BQ10" s="8"/>
    </row>
    <row r="11" spans="3:70" ht="15.6" customHeight="1" x14ac:dyDescent="0.4">
      <c r="C11" s="270" t="str">
        <f>IF(COUNTIF([1]回答表!K15,"*")&gt;0,[1]回答表!K15,"")</f>
        <v>大館市</v>
      </c>
      <c r="D11" s="264"/>
      <c r="E11" s="264"/>
      <c r="F11" s="264"/>
      <c r="G11" s="264"/>
      <c r="H11" s="264"/>
      <c r="I11" s="264"/>
      <c r="J11" s="264"/>
      <c r="K11" s="264"/>
      <c r="L11" s="264"/>
      <c r="M11" s="264"/>
      <c r="N11" s="264"/>
      <c r="O11" s="264"/>
      <c r="P11" s="264"/>
      <c r="Q11" s="264"/>
      <c r="R11" s="264"/>
      <c r="S11" s="264"/>
      <c r="T11" s="264"/>
      <c r="U11" s="271" t="str">
        <f>IF(COUNTIF([1]回答表!F17,"*")&gt;0,[1]回答表!F17,"")</f>
        <v>下水道事業</v>
      </c>
      <c r="V11" s="272"/>
      <c r="W11" s="272"/>
      <c r="X11" s="272"/>
      <c r="Y11" s="272"/>
      <c r="Z11" s="272"/>
      <c r="AA11" s="272"/>
      <c r="AB11" s="272"/>
      <c r="AC11" s="272"/>
      <c r="AD11" s="272"/>
      <c r="AE11" s="272"/>
      <c r="AF11" s="266"/>
      <c r="AG11" s="266"/>
      <c r="AH11" s="266"/>
      <c r="AI11" s="266"/>
      <c r="AJ11" s="266"/>
      <c r="AK11" s="266"/>
      <c r="AL11" s="266"/>
      <c r="AM11" s="266"/>
      <c r="AN11" s="267"/>
      <c r="AO11" s="277" t="str">
        <f>IF(COUNTIF([1]回答表!W17,"*")&gt;0,[1]回答表!W17,"")</f>
        <v>公共下水道</v>
      </c>
      <c r="AP11" s="266"/>
      <c r="AQ11" s="266"/>
      <c r="AR11" s="266"/>
      <c r="AS11" s="266"/>
      <c r="AT11" s="266"/>
      <c r="AU11" s="266"/>
      <c r="AV11" s="266"/>
      <c r="AW11" s="266"/>
      <c r="AX11" s="266"/>
      <c r="AY11" s="266"/>
      <c r="AZ11" s="266"/>
      <c r="BA11" s="266"/>
      <c r="BB11" s="266"/>
      <c r="BC11" s="266"/>
      <c r="BD11" s="266"/>
      <c r="BE11" s="267"/>
      <c r="BF11" s="270" t="str">
        <f>IF(COUNTIF([1]回答表!F19,"*")&gt;0,[1]回答表!F19,"")</f>
        <v>ー</v>
      </c>
      <c r="BG11" s="269"/>
      <c r="BH11" s="269"/>
      <c r="BI11" s="269"/>
      <c r="BJ11" s="269"/>
      <c r="BK11" s="269"/>
      <c r="BL11" s="269"/>
      <c r="BM11" s="269"/>
      <c r="BN11" s="269"/>
      <c r="BO11" s="269"/>
      <c r="BP11" s="269"/>
      <c r="BQ11" s="6"/>
    </row>
    <row r="12" spans="3:70" ht="15.6" customHeight="1" x14ac:dyDescent="0.4">
      <c r="C12" s="264"/>
      <c r="D12" s="264"/>
      <c r="E12" s="264"/>
      <c r="F12" s="264"/>
      <c r="G12" s="264"/>
      <c r="H12" s="264"/>
      <c r="I12" s="264"/>
      <c r="J12" s="264"/>
      <c r="K12" s="264"/>
      <c r="L12" s="264"/>
      <c r="M12" s="264"/>
      <c r="N12" s="264"/>
      <c r="O12" s="264"/>
      <c r="P12" s="264"/>
      <c r="Q12" s="264"/>
      <c r="R12" s="264"/>
      <c r="S12" s="264"/>
      <c r="T12" s="264"/>
      <c r="U12" s="273"/>
      <c r="V12" s="274"/>
      <c r="W12" s="274"/>
      <c r="X12" s="274"/>
      <c r="Y12" s="274"/>
      <c r="Z12" s="274"/>
      <c r="AA12" s="274"/>
      <c r="AB12" s="274"/>
      <c r="AC12" s="274"/>
      <c r="AD12" s="274"/>
      <c r="AE12" s="274"/>
      <c r="AF12" s="217"/>
      <c r="AG12" s="217"/>
      <c r="AH12" s="217"/>
      <c r="AI12" s="217"/>
      <c r="AJ12" s="217"/>
      <c r="AK12" s="217"/>
      <c r="AL12" s="217"/>
      <c r="AM12" s="217"/>
      <c r="AN12" s="218"/>
      <c r="AO12" s="219"/>
      <c r="AP12" s="217"/>
      <c r="AQ12" s="217"/>
      <c r="AR12" s="217"/>
      <c r="AS12" s="217"/>
      <c r="AT12" s="217"/>
      <c r="AU12" s="217"/>
      <c r="AV12" s="217"/>
      <c r="AW12" s="217"/>
      <c r="AX12" s="217"/>
      <c r="AY12" s="217"/>
      <c r="AZ12" s="217"/>
      <c r="BA12" s="217"/>
      <c r="BB12" s="217"/>
      <c r="BC12" s="217"/>
      <c r="BD12" s="217"/>
      <c r="BE12" s="218"/>
      <c r="BF12" s="269"/>
      <c r="BG12" s="269"/>
      <c r="BH12" s="269"/>
      <c r="BI12" s="269"/>
      <c r="BJ12" s="269"/>
      <c r="BK12" s="269"/>
      <c r="BL12" s="269"/>
      <c r="BM12" s="269"/>
      <c r="BN12" s="269"/>
      <c r="BO12" s="269"/>
      <c r="BP12" s="269"/>
      <c r="BQ12" s="6"/>
    </row>
    <row r="13" spans="3:70" ht="15.6" customHeight="1" x14ac:dyDescent="0.4">
      <c r="C13" s="264"/>
      <c r="D13" s="264"/>
      <c r="E13" s="264"/>
      <c r="F13" s="264"/>
      <c r="G13" s="264"/>
      <c r="H13" s="264"/>
      <c r="I13" s="264"/>
      <c r="J13" s="264"/>
      <c r="K13" s="264"/>
      <c r="L13" s="264"/>
      <c r="M13" s="264"/>
      <c r="N13" s="264"/>
      <c r="O13" s="264"/>
      <c r="P13" s="264"/>
      <c r="Q13" s="264"/>
      <c r="R13" s="264"/>
      <c r="S13" s="264"/>
      <c r="T13" s="264"/>
      <c r="U13" s="275"/>
      <c r="V13" s="276"/>
      <c r="W13" s="276"/>
      <c r="X13" s="276"/>
      <c r="Y13" s="276"/>
      <c r="Z13" s="276"/>
      <c r="AA13" s="276"/>
      <c r="AB13" s="276"/>
      <c r="AC13" s="276"/>
      <c r="AD13" s="276"/>
      <c r="AE13" s="276"/>
      <c r="AF13" s="221"/>
      <c r="AG13" s="221"/>
      <c r="AH13" s="221"/>
      <c r="AI13" s="221"/>
      <c r="AJ13" s="221"/>
      <c r="AK13" s="221"/>
      <c r="AL13" s="221"/>
      <c r="AM13" s="221"/>
      <c r="AN13" s="222"/>
      <c r="AO13" s="220"/>
      <c r="AP13" s="221"/>
      <c r="AQ13" s="221"/>
      <c r="AR13" s="221"/>
      <c r="AS13" s="221"/>
      <c r="AT13" s="221"/>
      <c r="AU13" s="221"/>
      <c r="AV13" s="221"/>
      <c r="AW13" s="221"/>
      <c r="AX13" s="221"/>
      <c r="AY13" s="221"/>
      <c r="AZ13" s="221"/>
      <c r="BA13" s="221"/>
      <c r="BB13" s="221"/>
      <c r="BC13" s="221"/>
      <c r="BD13" s="221"/>
      <c r="BE13" s="222"/>
      <c r="BF13" s="269"/>
      <c r="BG13" s="269"/>
      <c r="BH13" s="269"/>
      <c r="BI13" s="269"/>
      <c r="BJ13" s="269"/>
      <c r="BK13" s="269"/>
      <c r="BL13" s="269"/>
      <c r="BM13" s="269"/>
      <c r="BN13" s="269"/>
      <c r="BO13" s="269"/>
      <c r="BP13" s="269"/>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30" t="s">
        <v>4</v>
      </c>
      <c r="E18" s="231"/>
      <c r="F18" s="231"/>
      <c r="G18" s="231"/>
      <c r="H18" s="231"/>
      <c r="I18" s="231"/>
      <c r="J18" s="231"/>
      <c r="K18" s="231"/>
      <c r="L18" s="231"/>
      <c r="M18" s="231"/>
      <c r="N18" s="231"/>
      <c r="O18" s="231"/>
      <c r="P18" s="231"/>
      <c r="Q18" s="231"/>
      <c r="R18" s="231"/>
      <c r="S18" s="231"/>
      <c r="T18" s="231"/>
      <c r="U18" s="231"/>
      <c r="V18" s="231"/>
      <c r="W18" s="231"/>
      <c r="X18" s="231"/>
      <c r="Y18" s="231"/>
      <c r="Z18" s="231"/>
      <c r="AA18" s="231"/>
      <c r="AB18" s="231"/>
      <c r="AC18" s="231"/>
      <c r="AD18" s="231"/>
      <c r="AE18" s="231"/>
      <c r="AF18" s="231"/>
      <c r="AG18" s="231"/>
      <c r="AH18" s="231"/>
      <c r="AI18" s="231"/>
      <c r="AJ18" s="231"/>
      <c r="AK18" s="231"/>
      <c r="AL18" s="231"/>
      <c r="AM18" s="231"/>
      <c r="AN18" s="231"/>
      <c r="AO18" s="231"/>
      <c r="AP18" s="231"/>
      <c r="AQ18" s="231"/>
      <c r="AR18" s="231"/>
      <c r="AS18" s="231"/>
      <c r="AT18" s="231"/>
      <c r="AU18" s="231"/>
      <c r="AV18" s="231"/>
      <c r="AW18" s="231"/>
      <c r="AX18" s="231"/>
      <c r="AY18" s="231"/>
      <c r="AZ18" s="232"/>
      <c r="BA18" s="15"/>
      <c r="BB18" s="15"/>
      <c r="BC18" s="15"/>
      <c r="BD18" s="15"/>
      <c r="BE18" s="15"/>
      <c r="BF18" s="15"/>
      <c r="BG18" s="15"/>
      <c r="BH18" s="15"/>
      <c r="BI18" s="15"/>
      <c r="BJ18" s="15"/>
      <c r="BK18" s="16"/>
      <c r="BR18" s="13"/>
    </row>
    <row r="19" spans="3:83" ht="15.6" customHeight="1" x14ac:dyDescent="0.4">
      <c r="C19" s="14"/>
      <c r="D19" s="233"/>
      <c r="E19" s="234"/>
      <c r="F19" s="234"/>
      <c r="G19" s="234"/>
      <c r="H19" s="234"/>
      <c r="I19" s="234"/>
      <c r="J19" s="234"/>
      <c r="K19" s="234"/>
      <c r="L19" s="234"/>
      <c r="M19" s="234"/>
      <c r="N19" s="234"/>
      <c r="O19" s="234"/>
      <c r="P19" s="234"/>
      <c r="Q19" s="234"/>
      <c r="R19" s="234"/>
      <c r="S19" s="234"/>
      <c r="T19" s="234"/>
      <c r="U19" s="234"/>
      <c r="V19" s="234"/>
      <c r="W19" s="234"/>
      <c r="X19" s="234"/>
      <c r="Y19" s="234"/>
      <c r="Z19" s="234"/>
      <c r="AA19" s="234"/>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5"/>
      <c r="BA19" s="15"/>
      <c r="BB19" s="15"/>
      <c r="BC19" s="15"/>
      <c r="BD19" s="15"/>
      <c r="BE19" s="15"/>
      <c r="BF19" s="15"/>
      <c r="BG19" s="15"/>
      <c r="BH19" s="15"/>
      <c r="BI19" s="15"/>
      <c r="BJ19" s="15"/>
      <c r="BK19" s="16"/>
      <c r="BR19" s="13"/>
    </row>
    <row r="20" spans="3:83" ht="13.35" customHeight="1" x14ac:dyDescent="0.4">
      <c r="C20" s="14"/>
      <c r="D20" s="236" t="s">
        <v>5</v>
      </c>
      <c r="E20" s="237"/>
      <c r="F20" s="237"/>
      <c r="G20" s="237"/>
      <c r="H20" s="237"/>
      <c r="I20" s="237"/>
      <c r="J20" s="238"/>
      <c r="K20" s="236" t="s">
        <v>6</v>
      </c>
      <c r="L20" s="237"/>
      <c r="M20" s="237"/>
      <c r="N20" s="237"/>
      <c r="O20" s="237"/>
      <c r="P20" s="237"/>
      <c r="Q20" s="238"/>
      <c r="R20" s="236" t="s">
        <v>7</v>
      </c>
      <c r="S20" s="237"/>
      <c r="T20" s="237"/>
      <c r="U20" s="237"/>
      <c r="V20" s="237"/>
      <c r="W20" s="237"/>
      <c r="X20" s="238"/>
      <c r="Y20" s="245" t="s">
        <v>8</v>
      </c>
      <c r="Z20" s="246"/>
      <c r="AA20" s="246"/>
      <c r="AB20" s="246"/>
      <c r="AC20" s="246"/>
      <c r="AD20" s="246"/>
      <c r="AE20" s="246"/>
      <c r="AF20" s="246"/>
      <c r="AG20" s="246"/>
      <c r="AH20" s="246"/>
      <c r="AI20" s="246"/>
      <c r="AJ20" s="246"/>
      <c r="AK20" s="246"/>
      <c r="AL20" s="246"/>
      <c r="AM20" s="246"/>
      <c r="AN20" s="246"/>
      <c r="AO20" s="246"/>
      <c r="AP20" s="246"/>
      <c r="AQ20" s="246"/>
      <c r="AR20" s="246"/>
      <c r="AS20" s="246"/>
      <c r="AT20" s="246"/>
      <c r="AU20" s="246"/>
      <c r="AV20" s="246"/>
      <c r="AW20" s="246"/>
      <c r="AX20" s="246"/>
      <c r="AY20" s="246"/>
      <c r="AZ20" s="247"/>
      <c r="BA20" s="17"/>
      <c r="BB20" s="254" t="s">
        <v>9</v>
      </c>
      <c r="BC20" s="255"/>
      <c r="BD20" s="255"/>
      <c r="BE20" s="255"/>
      <c r="BF20" s="255"/>
      <c r="BG20" s="255"/>
      <c r="BH20" s="255"/>
      <c r="BI20" s="223"/>
      <c r="BJ20" s="224"/>
      <c r="BK20" s="16"/>
      <c r="BR20" s="18"/>
    </row>
    <row r="21" spans="3:83" ht="13.35" customHeight="1" x14ac:dyDescent="0.4">
      <c r="C21" s="14"/>
      <c r="D21" s="239"/>
      <c r="E21" s="240"/>
      <c r="F21" s="240"/>
      <c r="G21" s="240"/>
      <c r="H21" s="240"/>
      <c r="I21" s="240"/>
      <c r="J21" s="241"/>
      <c r="K21" s="239"/>
      <c r="L21" s="240"/>
      <c r="M21" s="240"/>
      <c r="N21" s="240"/>
      <c r="O21" s="240"/>
      <c r="P21" s="240"/>
      <c r="Q21" s="241"/>
      <c r="R21" s="239"/>
      <c r="S21" s="240"/>
      <c r="T21" s="240"/>
      <c r="U21" s="240"/>
      <c r="V21" s="240"/>
      <c r="W21" s="240"/>
      <c r="X21" s="241"/>
      <c r="Y21" s="248"/>
      <c r="Z21" s="249"/>
      <c r="AA21" s="249"/>
      <c r="AB21" s="249"/>
      <c r="AC21" s="249"/>
      <c r="AD21" s="249"/>
      <c r="AE21" s="249"/>
      <c r="AF21" s="249"/>
      <c r="AG21" s="249"/>
      <c r="AH21" s="249"/>
      <c r="AI21" s="249"/>
      <c r="AJ21" s="249"/>
      <c r="AK21" s="249"/>
      <c r="AL21" s="249"/>
      <c r="AM21" s="249"/>
      <c r="AN21" s="249"/>
      <c r="AO21" s="249"/>
      <c r="AP21" s="249"/>
      <c r="AQ21" s="249"/>
      <c r="AR21" s="249"/>
      <c r="AS21" s="249"/>
      <c r="AT21" s="249"/>
      <c r="AU21" s="249"/>
      <c r="AV21" s="249"/>
      <c r="AW21" s="249"/>
      <c r="AX21" s="249"/>
      <c r="AY21" s="249"/>
      <c r="AZ21" s="250"/>
      <c r="BA21" s="17"/>
      <c r="BB21" s="256"/>
      <c r="BC21" s="257"/>
      <c r="BD21" s="257"/>
      <c r="BE21" s="257"/>
      <c r="BF21" s="257"/>
      <c r="BG21" s="257"/>
      <c r="BH21" s="257"/>
      <c r="BI21" s="225"/>
      <c r="BJ21" s="226"/>
      <c r="BK21" s="16"/>
      <c r="BR21" s="18"/>
    </row>
    <row r="22" spans="3:83" ht="13.35" customHeight="1" x14ac:dyDescent="0.4">
      <c r="C22" s="14"/>
      <c r="D22" s="239"/>
      <c r="E22" s="240"/>
      <c r="F22" s="240"/>
      <c r="G22" s="240"/>
      <c r="H22" s="240"/>
      <c r="I22" s="240"/>
      <c r="J22" s="241"/>
      <c r="K22" s="239"/>
      <c r="L22" s="240"/>
      <c r="M22" s="240"/>
      <c r="N22" s="240"/>
      <c r="O22" s="240"/>
      <c r="P22" s="240"/>
      <c r="Q22" s="241"/>
      <c r="R22" s="239"/>
      <c r="S22" s="240"/>
      <c r="T22" s="240"/>
      <c r="U22" s="240"/>
      <c r="V22" s="240"/>
      <c r="W22" s="240"/>
      <c r="X22" s="241"/>
      <c r="Y22" s="251"/>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3"/>
      <c r="BA22" s="19"/>
      <c r="BB22" s="256"/>
      <c r="BC22" s="257"/>
      <c r="BD22" s="257"/>
      <c r="BE22" s="257"/>
      <c r="BF22" s="257"/>
      <c r="BG22" s="257"/>
      <c r="BH22" s="257"/>
      <c r="BI22" s="225"/>
      <c r="BJ22" s="226"/>
      <c r="BK22" s="16"/>
      <c r="BR22" s="18"/>
    </row>
    <row r="23" spans="3:83" ht="31.35" customHeight="1" x14ac:dyDescent="0.4">
      <c r="C23" s="14"/>
      <c r="D23" s="242"/>
      <c r="E23" s="243"/>
      <c r="F23" s="243"/>
      <c r="G23" s="243"/>
      <c r="H23" s="243"/>
      <c r="I23" s="243"/>
      <c r="J23" s="244"/>
      <c r="K23" s="242"/>
      <c r="L23" s="243"/>
      <c r="M23" s="243"/>
      <c r="N23" s="243"/>
      <c r="O23" s="243"/>
      <c r="P23" s="243"/>
      <c r="Q23" s="244"/>
      <c r="R23" s="242"/>
      <c r="S23" s="243"/>
      <c r="T23" s="243"/>
      <c r="U23" s="243"/>
      <c r="V23" s="243"/>
      <c r="W23" s="243"/>
      <c r="X23" s="244"/>
      <c r="Y23" s="260" t="s">
        <v>10</v>
      </c>
      <c r="Z23" s="261"/>
      <c r="AA23" s="261"/>
      <c r="AB23" s="261"/>
      <c r="AC23" s="261"/>
      <c r="AD23" s="261"/>
      <c r="AE23" s="262"/>
      <c r="AF23" s="260" t="s">
        <v>11</v>
      </c>
      <c r="AG23" s="261"/>
      <c r="AH23" s="261"/>
      <c r="AI23" s="261"/>
      <c r="AJ23" s="261"/>
      <c r="AK23" s="261"/>
      <c r="AL23" s="262"/>
      <c r="AM23" s="260" t="s">
        <v>12</v>
      </c>
      <c r="AN23" s="261"/>
      <c r="AO23" s="261"/>
      <c r="AP23" s="261"/>
      <c r="AQ23" s="261"/>
      <c r="AR23" s="261"/>
      <c r="AS23" s="262"/>
      <c r="AT23" s="260" t="s">
        <v>13</v>
      </c>
      <c r="AU23" s="261"/>
      <c r="AV23" s="261"/>
      <c r="AW23" s="261"/>
      <c r="AX23" s="261"/>
      <c r="AY23" s="261"/>
      <c r="AZ23" s="262"/>
      <c r="BA23" s="19"/>
      <c r="BB23" s="258"/>
      <c r="BC23" s="259"/>
      <c r="BD23" s="259"/>
      <c r="BE23" s="259"/>
      <c r="BF23" s="259"/>
      <c r="BG23" s="259"/>
      <c r="BH23" s="259"/>
      <c r="BI23" s="227"/>
      <c r="BJ23" s="228"/>
      <c r="BK23" s="16"/>
      <c r="BR23" s="18"/>
    </row>
    <row r="24" spans="3:83" ht="15.6" customHeight="1" x14ac:dyDescent="0.4">
      <c r="C24" s="14"/>
      <c r="D24" s="121" t="str">
        <f>IF([1]回答表!R41="○","○","")</f>
        <v/>
      </c>
      <c r="E24" s="122"/>
      <c r="F24" s="122"/>
      <c r="G24" s="122"/>
      <c r="H24" s="122"/>
      <c r="I24" s="122"/>
      <c r="J24" s="123"/>
      <c r="K24" s="121" t="str">
        <f>IF([1]回答表!R42="○","○","")</f>
        <v/>
      </c>
      <c r="L24" s="122"/>
      <c r="M24" s="122"/>
      <c r="N24" s="122"/>
      <c r="O24" s="122"/>
      <c r="P24" s="122"/>
      <c r="Q24" s="123"/>
      <c r="R24" s="121" t="str">
        <f>IF([1]回答表!R43="○","○","")</f>
        <v>○</v>
      </c>
      <c r="S24" s="122"/>
      <c r="T24" s="122"/>
      <c r="U24" s="122"/>
      <c r="V24" s="122"/>
      <c r="W24" s="122"/>
      <c r="X24" s="123"/>
      <c r="Y24" s="121" t="str">
        <f>IF([1]回答表!R44="○","○","")</f>
        <v/>
      </c>
      <c r="Z24" s="122"/>
      <c r="AA24" s="122"/>
      <c r="AB24" s="122"/>
      <c r="AC24" s="122"/>
      <c r="AD24" s="122"/>
      <c r="AE24" s="123"/>
      <c r="AF24" s="121" t="str">
        <f>IF([1]回答表!R45="○","○","")</f>
        <v/>
      </c>
      <c r="AG24" s="122"/>
      <c r="AH24" s="122"/>
      <c r="AI24" s="122"/>
      <c r="AJ24" s="122"/>
      <c r="AK24" s="122"/>
      <c r="AL24" s="123"/>
      <c r="AM24" s="121" t="str">
        <f>IF([1]回答表!R46="○","○","")</f>
        <v/>
      </c>
      <c r="AN24" s="122"/>
      <c r="AO24" s="122"/>
      <c r="AP24" s="122"/>
      <c r="AQ24" s="122"/>
      <c r="AR24" s="122"/>
      <c r="AS24" s="123"/>
      <c r="AT24" s="121" t="str">
        <f>IF([1]回答表!R47="○","○","")</f>
        <v/>
      </c>
      <c r="AU24" s="122"/>
      <c r="AV24" s="122"/>
      <c r="AW24" s="122"/>
      <c r="AX24" s="122"/>
      <c r="AY24" s="122"/>
      <c r="AZ24" s="123"/>
      <c r="BA24" s="19"/>
      <c r="BB24" s="118" t="str">
        <f>IF([1]回答表!R48="○","○","")</f>
        <v/>
      </c>
      <c r="BC24" s="119"/>
      <c r="BD24" s="119"/>
      <c r="BE24" s="119"/>
      <c r="BF24" s="119"/>
      <c r="BG24" s="119"/>
      <c r="BH24" s="119"/>
      <c r="BI24" s="223"/>
      <c r="BJ24" s="224"/>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25"/>
      <c r="BJ25" s="226"/>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27"/>
      <c r="BJ26" s="228"/>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IF([1]回答表!X41="○","○","")</f>
        <v/>
      </c>
      <c r="O36" s="98"/>
      <c r="P36" s="98"/>
      <c r="Q36" s="99"/>
      <c r="R36" s="39"/>
      <c r="S36" s="39"/>
      <c r="T36" s="39"/>
      <c r="U36" s="106" t="str">
        <f>IF([1]回答表!X41="○",[1]回答表!B56,IF([1]回答表!AA41="○",[1]回答表!B76,""))</f>
        <v/>
      </c>
      <c r="V36" s="107"/>
      <c r="W36" s="107"/>
      <c r="X36" s="107"/>
      <c r="Y36" s="107"/>
      <c r="Z36" s="107"/>
      <c r="AA36" s="107"/>
      <c r="AB36" s="107"/>
      <c r="AC36" s="107"/>
      <c r="AD36" s="107"/>
      <c r="AE36" s="107"/>
      <c r="AF36" s="107"/>
      <c r="AG36" s="107"/>
      <c r="AH36" s="107"/>
      <c r="AI36" s="107"/>
      <c r="AJ36" s="108"/>
      <c r="AK36" s="50"/>
      <c r="AL36" s="50"/>
      <c r="AM36" s="229" t="s">
        <v>19</v>
      </c>
      <c r="AN36" s="229"/>
      <c r="AO36" s="229"/>
      <c r="AP36" s="229"/>
      <c r="AQ36" s="229"/>
      <c r="AR36" s="229"/>
      <c r="AS36" s="229"/>
      <c r="AT36" s="229"/>
      <c r="AU36" s="229" t="s">
        <v>20</v>
      </c>
      <c r="AV36" s="229"/>
      <c r="AW36" s="229"/>
      <c r="AX36" s="229"/>
      <c r="AY36" s="229"/>
      <c r="AZ36" s="229"/>
      <c r="BA36" s="229"/>
      <c r="BB36" s="229"/>
      <c r="BC36" s="40"/>
      <c r="BD36" s="35"/>
      <c r="BE36" s="115" t="str">
        <f>IF([1]回答表!X41="○",[1]回答表!S62,IF([1]回答表!AA41="○",[1]回答表!S82,""))</f>
        <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29"/>
      <c r="AN37" s="229"/>
      <c r="AO37" s="229"/>
      <c r="AP37" s="229"/>
      <c r="AQ37" s="229"/>
      <c r="AR37" s="229"/>
      <c r="AS37" s="229"/>
      <c r="AT37" s="229"/>
      <c r="AU37" s="229"/>
      <c r="AV37" s="229"/>
      <c r="AW37" s="229"/>
      <c r="AX37" s="229"/>
      <c r="AY37" s="229"/>
      <c r="AZ37" s="229"/>
      <c r="BA37" s="229"/>
      <c r="BB37" s="229"/>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IF([1]回答表!X41="○",[1]回答表!G62,IF([1]回答表!AA41="○",[1]回答表!G82,""))</f>
        <v/>
      </c>
      <c r="AN38" s="119"/>
      <c r="AO38" s="119"/>
      <c r="AP38" s="119"/>
      <c r="AQ38" s="119"/>
      <c r="AR38" s="119"/>
      <c r="AS38" s="119"/>
      <c r="AT38" s="120"/>
      <c r="AU38" s="118" t="str">
        <f>IF([1]回答表!X41="○",[1]回答表!G63,IF([1]回答表!AA41="○",[1]回答表!G83,""))</f>
        <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t="str">
        <f>IF([1]回答表!X41="○",[1]回答表!V62,IF([1]回答表!AA41="○",[1]回答表!V82,""))</f>
        <v/>
      </c>
      <c r="BF39" s="217"/>
      <c r="BG39" s="217"/>
      <c r="BH39" s="218"/>
      <c r="BI39" s="82" t="str">
        <f>IF([1]回答表!X41="○",[1]回答表!V63,IF([1]回答表!AA41="○",[1]回答表!V83,""))</f>
        <v/>
      </c>
      <c r="BJ39" s="217"/>
      <c r="BK39" s="217"/>
      <c r="BL39" s="218"/>
      <c r="BM39" s="82" t="str">
        <f>IF([1]回答表!X41="○",[1]回答表!V64,IF([1]回答表!AA41="○",[1]回答表!V84,""))</f>
        <v/>
      </c>
      <c r="BN39" s="217"/>
      <c r="BO39" s="217"/>
      <c r="BP39" s="218"/>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19"/>
      <c r="BF40" s="217"/>
      <c r="BG40" s="217"/>
      <c r="BH40" s="218"/>
      <c r="BI40" s="219"/>
      <c r="BJ40" s="217"/>
      <c r="BK40" s="217"/>
      <c r="BL40" s="218"/>
      <c r="BM40" s="219"/>
      <c r="BN40" s="217"/>
      <c r="BO40" s="217"/>
      <c r="BP40" s="218"/>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19"/>
      <c r="BF41" s="217"/>
      <c r="BG41" s="217"/>
      <c r="BH41" s="218"/>
      <c r="BI41" s="219"/>
      <c r="BJ41" s="217"/>
      <c r="BK41" s="217"/>
      <c r="BL41" s="218"/>
      <c r="BM41" s="219"/>
      <c r="BN41" s="217"/>
      <c r="BO41" s="217"/>
      <c r="BP41" s="218"/>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215" t="str">
        <f>IF([1]回答表!X41="○",[1]回答表!O68,IF([1]回答表!AA41="○",[1]回答表!O88,""))</f>
        <v/>
      </c>
      <c r="AN42" s="216"/>
      <c r="AO42" s="213" t="s">
        <v>21</v>
      </c>
      <c r="AP42" s="213"/>
      <c r="AQ42" s="213"/>
      <c r="AR42" s="213"/>
      <c r="AS42" s="213"/>
      <c r="AT42" s="213"/>
      <c r="AU42" s="213"/>
      <c r="AV42" s="213"/>
      <c r="AW42" s="213"/>
      <c r="AX42" s="213"/>
      <c r="AY42" s="213"/>
      <c r="AZ42" s="213"/>
      <c r="BA42" s="213"/>
      <c r="BB42" s="214"/>
      <c r="BC42" s="40"/>
      <c r="BD42" s="40"/>
      <c r="BE42" s="219"/>
      <c r="BF42" s="217"/>
      <c r="BG42" s="217"/>
      <c r="BH42" s="218"/>
      <c r="BI42" s="219"/>
      <c r="BJ42" s="217"/>
      <c r="BK42" s="217"/>
      <c r="BL42" s="218"/>
      <c r="BM42" s="219"/>
      <c r="BN42" s="217"/>
      <c r="BO42" s="217"/>
      <c r="BP42" s="218"/>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215" t="str">
        <f>IF([1]回答表!X41="○",[1]回答表!O69,IF([1]回答表!AA41="○",[1]回答表!O89,""))</f>
        <v/>
      </c>
      <c r="AN43" s="216"/>
      <c r="AO43" s="213" t="s">
        <v>22</v>
      </c>
      <c r="AP43" s="213"/>
      <c r="AQ43" s="213"/>
      <c r="AR43" s="213"/>
      <c r="AS43" s="213"/>
      <c r="AT43" s="213"/>
      <c r="AU43" s="213"/>
      <c r="AV43" s="213"/>
      <c r="AW43" s="213"/>
      <c r="AX43" s="213"/>
      <c r="AY43" s="213"/>
      <c r="AZ43" s="213"/>
      <c r="BA43" s="213"/>
      <c r="BB43" s="214"/>
      <c r="BC43" s="40"/>
      <c r="BD43" s="35"/>
      <c r="BE43" s="82" t="s">
        <v>23</v>
      </c>
      <c r="BF43" s="217"/>
      <c r="BG43" s="217"/>
      <c r="BH43" s="218"/>
      <c r="BI43" s="82" t="s">
        <v>24</v>
      </c>
      <c r="BJ43" s="217"/>
      <c r="BK43" s="217"/>
      <c r="BL43" s="218"/>
      <c r="BM43" s="82" t="s">
        <v>25</v>
      </c>
      <c r="BN43" s="217"/>
      <c r="BO43" s="217"/>
      <c r="BP43" s="218"/>
      <c r="BQ43" s="38"/>
      <c r="BR43" s="25"/>
    </row>
    <row r="44" spans="1:70" ht="15.6" customHeight="1" x14ac:dyDescent="0.4">
      <c r="A44" s="25"/>
      <c r="B44" s="25"/>
      <c r="C44" s="33"/>
      <c r="D44" s="140" t="s">
        <v>26</v>
      </c>
      <c r="E44" s="141"/>
      <c r="F44" s="141"/>
      <c r="G44" s="141"/>
      <c r="H44" s="141"/>
      <c r="I44" s="141"/>
      <c r="J44" s="141"/>
      <c r="K44" s="141"/>
      <c r="L44" s="141"/>
      <c r="M44" s="142"/>
      <c r="N44" s="97" t="str">
        <f>IF([1]回答表!AA41="○","○","")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215" t="str">
        <f>IF([1]回答表!X41="○",[1]回答表!O70,IF([1]回答表!AA41="○",[1]回答表!O90,""))</f>
        <v/>
      </c>
      <c r="AN44" s="216"/>
      <c r="AO44" s="213" t="s">
        <v>27</v>
      </c>
      <c r="AP44" s="213"/>
      <c r="AQ44" s="213"/>
      <c r="AR44" s="213"/>
      <c r="AS44" s="213"/>
      <c r="AT44" s="213"/>
      <c r="AU44" s="213"/>
      <c r="AV44" s="213"/>
      <c r="AW44" s="213"/>
      <c r="AX44" s="213"/>
      <c r="AY44" s="213"/>
      <c r="AZ44" s="213"/>
      <c r="BA44" s="213"/>
      <c r="BB44" s="214"/>
      <c r="BC44" s="40"/>
      <c r="BD44" s="54"/>
      <c r="BE44" s="219"/>
      <c r="BF44" s="217"/>
      <c r="BG44" s="217"/>
      <c r="BH44" s="218"/>
      <c r="BI44" s="219"/>
      <c r="BJ44" s="217"/>
      <c r="BK44" s="217"/>
      <c r="BL44" s="218"/>
      <c r="BM44" s="219"/>
      <c r="BN44" s="217"/>
      <c r="BO44" s="217"/>
      <c r="BP44" s="218"/>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215" t="str">
        <f>IF([1]回答表!X41="○",[1]回答表!O71,IF([1]回答表!AA41="○",[1]回答表!O91,""))</f>
        <v/>
      </c>
      <c r="AN45" s="216"/>
      <c r="AO45" s="213" t="s">
        <v>28</v>
      </c>
      <c r="AP45" s="213"/>
      <c r="AQ45" s="213"/>
      <c r="AR45" s="213"/>
      <c r="AS45" s="213"/>
      <c r="AT45" s="213"/>
      <c r="AU45" s="213"/>
      <c r="AV45" s="213"/>
      <c r="AW45" s="213"/>
      <c r="AX45" s="213"/>
      <c r="AY45" s="213"/>
      <c r="AZ45" s="213"/>
      <c r="BA45" s="213"/>
      <c r="BB45" s="214"/>
      <c r="BC45" s="40"/>
      <c r="BD45" s="54"/>
      <c r="BE45" s="220"/>
      <c r="BF45" s="221"/>
      <c r="BG45" s="221"/>
      <c r="BH45" s="222"/>
      <c r="BI45" s="220"/>
      <c r="BJ45" s="221"/>
      <c r="BK45" s="221"/>
      <c r="BL45" s="222"/>
      <c r="BM45" s="220"/>
      <c r="BN45" s="221"/>
      <c r="BO45" s="221"/>
      <c r="BP45" s="222"/>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215" t="str">
        <f>IF([1]回答表!X41="○",[1]回答表!AG68,IF([1]回答表!AA41="○",[1]回答表!AG88,""))</f>
        <v/>
      </c>
      <c r="AN46" s="216"/>
      <c r="AO46" s="213" t="s">
        <v>29</v>
      </c>
      <c r="AP46" s="213"/>
      <c r="AQ46" s="213"/>
      <c r="AR46" s="213"/>
      <c r="AS46" s="213"/>
      <c r="AT46" s="213"/>
      <c r="AU46" s="213"/>
      <c r="AV46" s="213"/>
      <c r="AW46" s="213"/>
      <c r="AX46" s="213"/>
      <c r="AY46" s="213"/>
      <c r="AZ46" s="213"/>
      <c r="BA46" s="213"/>
      <c r="BB46" s="214"/>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215" t="str">
        <f>IF([1]回答表!X41="○",[1]回答表!AG69,IF([1]回答表!AA41="○",[1]回答表!AG89,""))</f>
        <v/>
      </c>
      <c r="AN47" s="216"/>
      <c r="AO47" s="213" t="s">
        <v>30</v>
      </c>
      <c r="AP47" s="213"/>
      <c r="AQ47" s="213"/>
      <c r="AR47" s="213"/>
      <c r="AS47" s="213"/>
      <c r="AT47" s="213"/>
      <c r="AU47" s="213"/>
      <c r="AV47" s="213"/>
      <c r="AW47" s="213"/>
      <c r="AX47" s="213"/>
      <c r="AY47" s="213"/>
      <c r="AZ47" s="213"/>
      <c r="BA47" s="213"/>
      <c r="BB47" s="214"/>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215" t="str">
        <f>IF([1]回答表!X41="○",[1]回答表!AG70,IF([1]回答表!AA41="○",[1]回答表!AG90,""))</f>
        <v/>
      </c>
      <c r="AN48" s="216"/>
      <c r="AO48" s="213" t="s">
        <v>31</v>
      </c>
      <c r="AP48" s="213"/>
      <c r="AQ48" s="213"/>
      <c r="AR48" s="213"/>
      <c r="AS48" s="213"/>
      <c r="AT48" s="213"/>
      <c r="AU48" s="213"/>
      <c r="AV48" s="213"/>
      <c r="AW48" s="213"/>
      <c r="AX48" s="213"/>
      <c r="AY48" s="213"/>
      <c r="AZ48" s="213"/>
      <c r="BA48" s="213"/>
      <c r="BB48" s="214"/>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IF([1]回答表!AD41="○","○","")</f>
        <v/>
      </c>
      <c r="O52" s="98"/>
      <c r="P52" s="98"/>
      <c r="Q52" s="99"/>
      <c r="R52" s="39"/>
      <c r="S52" s="39"/>
      <c r="T52" s="39"/>
      <c r="U52" s="106" t="str">
        <f>IF([1]回答表!AD41="○",[1]回答表!B96,"")</f>
        <v/>
      </c>
      <c r="V52" s="107"/>
      <c r="W52" s="107"/>
      <c r="X52" s="107"/>
      <c r="Y52" s="107"/>
      <c r="Z52" s="107"/>
      <c r="AA52" s="107"/>
      <c r="AB52" s="107"/>
      <c r="AC52" s="107"/>
      <c r="AD52" s="107"/>
      <c r="AE52" s="107"/>
      <c r="AF52" s="107"/>
      <c r="AG52" s="107"/>
      <c r="AH52" s="107"/>
      <c r="AI52" s="107"/>
      <c r="AJ52" s="108"/>
      <c r="AK52" s="56"/>
      <c r="AL52" s="56"/>
      <c r="AM52" s="106" t="str">
        <f>IF([1]回答表!AD41="○",[1]回答表!B101,"")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IF([1]回答表!X42="○","○","")</f>
        <v/>
      </c>
      <c r="O63" s="98"/>
      <c r="P63" s="98"/>
      <c r="Q63" s="99"/>
      <c r="R63" s="39"/>
      <c r="S63" s="39"/>
      <c r="T63" s="39"/>
      <c r="U63" s="106" t="str">
        <f>IF([1]回答表!X42="○",[1]回答表!B111,IF([1]回答表!AA42="○",[1]回答表!B124,""))</f>
        <v/>
      </c>
      <c r="V63" s="107"/>
      <c r="W63" s="107"/>
      <c r="X63" s="107"/>
      <c r="Y63" s="107"/>
      <c r="Z63" s="107"/>
      <c r="AA63" s="107"/>
      <c r="AB63" s="107"/>
      <c r="AC63" s="107"/>
      <c r="AD63" s="107"/>
      <c r="AE63" s="107"/>
      <c r="AF63" s="107"/>
      <c r="AG63" s="107"/>
      <c r="AH63" s="107"/>
      <c r="AI63" s="107"/>
      <c r="AJ63" s="108"/>
      <c r="AK63" s="50"/>
      <c r="AL63" s="50"/>
      <c r="AM63" s="212" t="s">
        <v>37</v>
      </c>
      <c r="AN63" s="212"/>
      <c r="AO63" s="212"/>
      <c r="AP63" s="212"/>
      <c r="AQ63" s="212"/>
      <c r="AR63" s="212"/>
      <c r="AS63" s="212"/>
      <c r="AT63" s="212"/>
      <c r="AU63" s="212" t="s">
        <v>38</v>
      </c>
      <c r="AV63" s="212"/>
      <c r="AW63" s="212"/>
      <c r="AX63" s="212"/>
      <c r="AY63" s="212"/>
      <c r="AZ63" s="212"/>
      <c r="BA63" s="212"/>
      <c r="BB63" s="212"/>
      <c r="BC63" s="40"/>
      <c r="BD63" s="35"/>
      <c r="BE63" s="115" t="str">
        <f>IF([1]回答表!X42="○",[1]回答表!S117,IF([1]回答表!AA42="○",[1]回答表!S130,""))</f>
        <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212"/>
      <c r="AN64" s="212"/>
      <c r="AO64" s="212"/>
      <c r="AP64" s="212"/>
      <c r="AQ64" s="212"/>
      <c r="AR64" s="212"/>
      <c r="AS64" s="212"/>
      <c r="AT64" s="212"/>
      <c r="AU64" s="212"/>
      <c r="AV64" s="212"/>
      <c r="AW64" s="212"/>
      <c r="AX64" s="212"/>
      <c r="AY64" s="212"/>
      <c r="AZ64" s="212"/>
      <c r="BA64" s="212"/>
      <c r="BB64" s="212"/>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212"/>
      <c r="AN65" s="212"/>
      <c r="AO65" s="212"/>
      <c r="AP65" s="212"/>
      <c r="AQ65" s="212"/>
      <c r="AR65" s="212"/>
      <c r="AS65" s="212"/>
      <c r="AT65" s="212"/>
      <c r="AU65" s="212"/>
      <c r="AV65" s="212"/>
      <c r="AW65" s="212"/>
      <c r="AX65" s="212"/>
      <c r="AY65" s="212"/>
      <c r="AZ65" s="212"/>
      <c r="BA65" s="212"/>
      <c r="BB65" s="212"/>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IF([1]回答表!X42="○",[1]回答表!J117,IF([1]回答表!AA42="○",[1]回答表!J130,""))</f>
        <v/>
      </c>
      <c r="AN66" s="119"/>
      <c r="AO66" s="119"/>
      <c r="AP66" s="119"/>
      <c r="AQ66" s="119"/>
      <c r="AR66" s="119"/>
      <c r="AS66" s="119"/>
      <c r="AT66" s="120"/>
      <c r="AU66" s="118" t="str">
        <f>IF([1]回答表!X42="○",[1]回答表!J118,IF([1]回答表!AA42="○",[1]回答表!J131,""))</f>
        <v/>
      </c>
      <c r="AV66" s="119"/>
      <c r="AW66" s="119"/>
      <c r="AX66" s="119"/>
      <c r="AY66" s="119"/>
      <c r="AZ66" s="119"/>
      <c r="BA66" s="119"/>
      <c r="BB66" s="120"/>
      <c r="BC66" s="40"/>
      <c r="BD66" s="35"/>
      <c r="BE66" s="82" t="str">
        <f>IF([1]回答表!X42="○",[1]回答表!V117,IF([1]回答表!AA42="○",[1]回答表!V130,""))</f>
        <v/>
      </c>
      <c r="BF66" s="83"/>
      <c r="BG66" s="83"/>
      <c r="BH66" s="83"/>
      <c r="BI66" s="82" t="str">
        <f>IF([1]回答表!X42="○",[1]回答表!V118,IF([1]回答表!AA42="○",[1]回答表!V131,""))</f>
        <v/>
      </c>
      <c r="BJ66" s="83"/>
      <c r="BK66" s="83"/>
      <c r="BL66" s="83"/>
      <c r="BM66" s="82" t="str">
        <f>IF([1]回答表!X42="○",[1]回答表!V119,IF([1]回答表!AA42="○",[1]回答表!V132,""))</f>
        <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IF([1]回答表!AA42="○","○","")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IF([1]回答表!AD42="○","○","")</f>
        <v/>
      </c>
      <c r="O75" s="98"/>
      <c r="P75" s="98"/>
      <c r="Q75" s="99"/>
      <c r="R75" s="39"/>
      <c r="S75" s="39"/>
      <c r="T75" s="39"/>
      <c r="U75" s="106" t="str">
        <f>IF([1]回答表!AD42="○",[1]回答表!B137,"")</f>
        <v/>
      </c>
      <c r="V75" s="107"/>
      <c r="W75" s="107"/>
      <c r="X75" s="107"/>
      <c r="Y75" s="107"/>
      <c r="Z75" s="107"/>
      <c r="AA75" s="107"/>
      <c r="AB75" s="107"/>
      <c r="AC75" s="107"/>
      <c r="AD75" s="107"/>
      <c r="AE75" s="107"/>
      <c r="AF75" s="107"/>
      <c r="AG75" s="107"/>
      <c r="AH75" s="107"/>
      <c r="AI75" s="107"/>
      <c r="AJ75" s="108"/>
      <c r="AK75" s="56"/>
      <c r="AL75" s="56"/>
      <c r="AM75" s="106" t="str">
        <f>IF([1]回答表!AD42="○",[1]回答表!B143,"")</f>
        <v/>
      </c>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8"/>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109"/>
      <c r="V76" s="110"/>
      <c r="W76" s="110"/>
      <c r="X76" s="110"/>
      <c r="Y76" s="110"/>
      <c r="Z76" s="110"/>
      <c r="AA76" s="110"/>
      <c r="AB76" s="110"/>
      <c r="AC76" s="110"/>
      <c r="AD76" s="110"/>
      <c r="AE76" s="110"/>
      <c r="AF76" s="110"/>
      <c r="AG76" s="110"/>
      <c r="AH76" s="110"/>
      <c r="AI76" s="110"/>
      <c r="AJ76" s="111"/>
      <c r="AK76" s="56"/>
      <c r="AL76" s="56"/>
      <c r="AM76" s="109"/>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1"/>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109"/>
      <c r="V77" s="110"/>
      <c r="W77" s="110"/>
      <c r="X77" s="110"/>
      <c r="Y77" s="110"/>
      <c r="Z77" s="110"/>
      <c r="AA77" s="110"/>
      <c r="AB77" s="110"/>
      <c r="AC77" s="110"/>
      <c r="AD77" s="110"/>
      <c r="AE77" s="110"/>
      <c r="AF77" s="110"/>
      <c r="AG77" s="110"/>
      <c r="AH77" s="110"/>
      <c r="AI77" s="110"/>
      <c r="AJ77" s="111"/>
      <c r="AK77" s="56"/>
      <c r="AL77" s="56"/>
      <c r="AM77" s="109"/>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1"/>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112"/>
      <c r="V78" s="113"/>
      <c r="W78" s="113"/>
      <c r="X78" s="113"/>
      <c r="Y78" s="113"/>
      <c r="Z78" s="113"/>
      <c r="AA78" s="113"/>
      <c r="AB78" s="113"/>
      <c r="AC78" s="113"/>
      <c r="AD78" s="113"/>
      <c r="AE78" s="113"/>
      <c r="AF78" s="113"/>
      <c r="AG78" s="113"/>
      <c r="AH78" s="113"/>
      <c r="AI78" s="113"/>
      <c r="AJ78" s="114"/>
      <c r="AK78" s="56"/>
      <c r="AL78" s="56"/>
      <c r="AM78" s="112"/>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4"/>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62"/>
      <c r="AS81" s="162"/>
      <c r="AT81" s="162"/>
      <c r="AU81" s="162"/>
      <c r="AV81" s="162"/>
      <c r="AW81" s="162"/>
      <c r="AX81" s="162"/>
      <c r="AY81" s="162"/>
      <c r="AZ81" s="162"/>
      <c r="BA81" s="162"/>
      <c r="BB81" s="162"/>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87"/>
      <c r="AS82" s="187"/>
      <c r="AT82" s="187"/>
      <c r="AU82" s="187"/>
      <c r="AV82" s="187"/>
      <c r="AW82" s="187"/>
      <c r="AX82" s="187"/>
      <c r="AY82" s="187"/>
      <c r="AZ82" s="187"/>
      <c r="BA82" s="187"/>
      <c r="BB82" s="187"/>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81" t="s">
        <v>18</v>
      </c>
      <c r="E87" s="181"/>
      <c r="F87" s="181"/>
      <c r="G87" s="181"/>
      <c r="H87" s="181"/>
      <c r="I87" s="181"/>
      <c r="J87" s="181"/>
      <c r="K87" s="181"/>
      <c r="L87" s="181"/>
      <c r="M87" s="181"/>
      <c r="N87" s="97" t="str">
        <f>IF([1]回答表!F17="水道事業",IF([1]回答表!X43="○","○",""),"")</f>
        <v/>
      </c>
      <c r="O87" s="98"/>
      <c r="P87" s="98"/>
      <c r="Q87" s="99"/>
      <c r="R87" s="39"/>
      <c r="S87" s="39"/>
      <c r="T87" s="39"/>
      <c r="U87" s="188" t="s">
        <v>41</v>
      </c>
      <c r="V87" s="189"/>
      <c r="W87" s="189"/>
      <c r="X87" s="189"/>
      <c r="Y87" s="189"/>
      <c r="Z87" s="189"/>
      <c r="AA87" s="189"/>
      <c r="AB87" s="189"/>
      <c r="AC87" s="188" t="s">
        <v>42</v>
      </c>
      <c r="AD87" s="189"/>
      <c r="AE87" s="189"/>
      <c r="AF87" s="189"/>
      <c r="AG87" s="189"/>
      <c r="AH87" s="189"/>
      <c r="AI87" s="189"/>
      <c r="AJ87" s="198"/>
      <c r="AK87" s="50"/>
      <c r="AL87" s="50"/>
      <c r="AM87" s="106" t="str">
        <f>IF([1]回答表!F17="水道事業",IF([1]回答表!X43="○",[1]回答表!B154,IF([1]回答表!AA43="○",[1]回答表!B201,"")),"")</f>
        <v/>
      </c>
      <c r="AN87" s="107"/>
      <c r="AO87" s="107"/>
      <c r="AP87" s="107"/>
      <c r="AQ87" s="107"/>
      <c r="AR87" s="107"/>
      <c r="AS87" s="107"/>
      <c r="AT87" s="107"/>
      <c r="AU87" s="107"/>
      <c r="AV87" s="107"/>
      <c r="AW87" s="107"/>
      <c r="AX87" s="107"/>
      <c r="AY87" s="107"/>
      <c r="AZ87" s="107"/>
      <c r="BA87" s="107"/>
      <c r="BB87" s="108"/>
      <c r="BC87" s="40"/>
      <c r="BD87" s="35"/>
      <c r="BE87" s="115" t="str">
        <f>IF([1]回答表!F17="水道事業",IF([1]回答表!X43="○",[1]回答表!B190,IF([1]回答表!AA43="○",[1]回答表!B238,"")),"")</f>
        <v/>
      </c>
      <c r="BF87" s="116"/>
      <c r="BG87" s="116"/>
      <c r="BH87" s="116"/>
      <c r="BI87" s="115"/>
      <c r="BJ87" s="116"/>
      <c r="BK87" s="116"/>
      <c r="BL87" s="116"/>
      <c r="BM87" s="115"/>
      <c r="BN87" s="116"/>
      <c r="BO87" s="116"/>
      <c r="BP87" s="117"/>
      <c r="BQ87" s="38"/>
    </row>
    <row r="88" spans="3:69" ht="19.350000000000001" customHeight="1" x14ac:dyDescent="0.4">
      <c r="C88" s="33"/>
      <c r="D88" s="181"/>
      <c r="E88" s="181"/>
      <c r="F88" s="181"/>
      <c r="G88" s="181"/>
      <c r="H88" s="181"/>
      <c r="I88" s="181"/>
      <c r="J88" s="181"/>
      <c r="K88" s="181"/>
      <c r="L88" s="181"/>
      <c r="M88" s="181"/>
      <c r="N88" s="100"/>
      <c r="O88" s="101"/>
      <c r="P88" s="101"/>
      <c r="Q88" s="102"/>
      <c r="R88" s="39"/>
      <c r="S88" s="39"/>
      <c r="T88" s="39"/>
      <c r="U88" s="190"/>
      <c r="V88" s="191"/>
      <c r="W88" s="191"/>
      <c r="X88" s="191"/>
      <c r="Y88" s="191"/>
      <c r="Z88" s="191"/>
      <c r="AA88" s="191"/>
      <c r="AB88" s="191"/>
      <c r="AC88" s="190"/>
      <c r="AD88" s="191"/>
      <c r="AE88" s="191"/>
      <c r="AF88" s="191"/>
      <c r="AG88" s="191"/>
      <c r="AH88" s="191"/>
      <c r="AI88" s="191"/>
      <c r="AJ88" s="199"/>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81"/>
      <c r="E89" s="181"/>
      <c r="F89" s="181"/>
      <c r="G89" s="181"/>
      <c r="H89" s="181"/>
      <c r="I89" s="181"/>
      <c r="J89" s="181"/>
      <c r="K89" s="181"/>
      <c r="L89" s="181"/>
      <c r="M89" s="181"/>
      <c r="N89" s="100"/>
      <c r="O89" s="101"/>
      <c r="P89" s="101"/>
      <c r="Q89" s="102"/>
      <c r="R89" s="39"/>
      <c r="S89" s="39"/>
      <c r="T89" s="39"/>
      <c r="U89" s="118" t="str">
        <f>IF([1]回答表!F17="水道事業",IF([1]回答表!X43="○",[1]回答表!J162,IF([1]回答表!AA43="○",[1]回答表!J209,"")),"")</f>
        <v/>
      </c>
      <c r="V89" s="119"/>
      <c r="W89" s="119"/>
      <c r="X89" s="119"/>
      <c r="Y89" s="119"/>
      <c r="Z89" s="119"/>
      <c r="AA89" s="119"/>
      <c r="AB89" s="120"/>
      <c r="AC89" s="118" t="str">
        <f>IF([1]回答表!F17="水道事業",IF([1]回答表!X43="○",[1]回答表!J169,IF([1]回答表!AA43="○",[1]回答表!J216,"")),"")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81"/>
      <c r="E90" s="181"/>
      <c r="F90" s="181"/>
      <c r="G90" s="181"/>
      <c r="H90" s="181"/>
      <c r="I90" s="181"/>
      <c r="J90" s="181"/>
      <c r="K90" s="181"/>
      <c r="L90" s="181"/>
      <c r="M90" s="181"/>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IF([1]回答表!F17="水道事業",IF([1]回答表!X43="○",[1]回答表!E190,IF([1]回答表!AA43="○",[1]回答表!E238,"")),"")</f>
        <v/>
      </c>
      <c r="BF90" s="83"/>
      <c r="BG90" s="83"/>
      <c r="BH90" s="83"/>
      <c r="BI90" s="82" t="str">
        <f>IF([1]回答表!F17="水道事業",IF([1]回答表!X43="○",[1]回答表!E191,IF([1]回答表!AA43="○",[1]回答表!E239,"")),"")</f>
        <v/>
      </c>
      <c r="BJ90" s="83"/>
      <c r="BK90" s="83"/>
      <c r="BL90" s="83"/>
      <c r="BM90" s="82" t="str">
        <f>IF([1]回答表!F17="水道事業",IF([1]回答表!X43="○",[1]回答表!E192,IF([1]回答表!AA43="○",[1]回答表!E240,"")),"")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88" t="s">
        <v>43</v>
      </c>
      <c r="V92" s="189"/>
      <c r="W92" s="189"/>
      <c r="X92" s="189"/>
      <c r="Y92" s="189"/>
      <c r="Z92" s="189"/>
      <c r="AA92" s="189"/>
      <c r="AB92" s="189"/>
      <c r="AC92" s="188" t="s">
        <v>44</v>
      </c>
      <c r="AD92" s="189"/>
      <c r="AE92" s="189"/>
      <c r="AF92" s="189"/>
      <c r="AG92" s="189"/>
      <c r="AH92" s="189"/>
      <c r="AI92" s="189"/>
      <c r="AJ92" s="198"/>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86" t="s">
        <v>26</v>
      </c>
      <c r="E93" s="181"/>
      <c r="F93" s="181"/>
      <c r="G93" s="181"/>
      <c r="H93" s="181"/>
      <c r="I93" s="181"/>
      <c r="J93" s="181"/>
      <c r="K93" s="181"/>
      <c r="L93" s="181"/>
      <c r="M93" s="182"/>
      <c r="N93" s="97" t="str">
        <f>IF([1]回答表!F17="水道事業",IF([1]回答表!AA43="○","○",""),"")</f>
        <v/>
      </c>
      <c r="O93" s="98"/>
      <c r="P93" s="98"/>
      <c r="Q93" s="99"/>
      <c r="R93" s="39"/>
      <c r="S93" s="39"/>
      <c r="T93" s="39"/>
      <c r="U93" s="190"/>
      <c r="V93" s="191"/>
      <c r="W93" s="191"/>
      <c r="X93" s="191"/>
      <c r="Y93" s="191"/>
      <c r="Z93" s="191"/>
      <c r="AA93" s="191"/>
      <c r="AB93" s="191"/>
      <c r="AC93" s="190"/>
      <c r="AD93" s="191"/>
      <c r="AE93" s="191"/>
      <c r="AF93" s="191"/>
      <c r="AG93" s="191"/>
      <c r="AH93" s="191"/>
      <c r="AI93" s="191"/>
      <c r="AJ93" s="199"/>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81"/>
      <c r="E94" s="181"/>
      <c r="F94" s="181"/>
      <c r="G94" s="181"/>
      <c r="H94" s="181"/>
      <c r="I94" s="181"/>
      <c r="J94" s="181"/>
      <c r="K94" s="181"/>
      <c r="L94" s="181"/>
      <c r="M94" s="182"/>
      <c r="N94" s="100"/>
      <c r="O94" s="101"/>
      <c r="P94" s="101"/>
      <c r="Q94" s="102"/>
      <c r="R94" s="39"/>
      <c r="S94" s="39"/>
      <c r="T94" s="39"/>
      <c r="U94" s="118" t="str">
        <f>IF([1]回答表!F17="水道事業",IF([1]回答表!X43="○",[1]回答表!J172,IF([1]回答表!AA43="○",[1]回答表!J219,"")),"")</f>
        <v/>
      </c>
      <c r="V94" s="119"/>
      <c r="W94" s="119"/>
      <c r="X94" s="119"/>
      <c r="Y94" s="119"/>
      <c r="Z94" s="119"/>
      <c r="AA94" s="119"/>
      <c r="AB94" s="120"/>
      <c r="AC94" s="118" t="str">
        <f>IF([1]回答表!F17="水道事業",IF([1]回答表!X43="○",[1]回答表!J176,IF([1]回答表!AA43="○",[1]回答表!J223,"")),"")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81"/>
      <c r="E95" s="181"/>
      <c r="F95" s="181"/>
      <c r="G95" s="181"/>
      <c r="H95" s="181"/>
      <c r="I95" s="181"/>
      <c r="J95" s="181"/>
      <c r="K95" s="181"/>
      <c r="L95" s="181"/>
      <c r="M95" s="182"/>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81"/>
      <c r="E96" s="181"/>
      <c r="F96" s="181"/>
      <c r="G96" s="181"/>
      <c r="H96" s="181"/>
      <c r="I96" s="181"/>
      <c r="J96" s="181"/>
      <c r="K96" s="181"/>
      <c r="L96" s="181"/>
      <c r="M96" s="182"/>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81" t="s">
        <v>34</v>
      </c>
      <c r="E99" s="181"/>
      <c r="F99" s="181"/>
      <c r="G99" s="181"/>
      <c r="H99" s="181"/>
      <c r="I99" s="181"/>
      <c r="J99" s="181"/>
      <c r="K99" s="181"/>
      <c r="L99" s="181"/>
      <c r="M99" s="182"/>
      <c r="N99" s="97" t="str">
        <f>IF([1]回答表!F17="水道事業",IF([1]回答表!AD43="○","○",""),"")</f>
        <v/>
      </c>
      <c r="O99" s="98"/>
      <c r="P99" s="98"/>
      <c r="Q99" s="99"/>
      <c r="R99" s="39"/>
      <c r="S99" s="39"/>
      <c r="T99" s="39"/>
      <c r="U99" s="106" t="str">
        <f>IF([1]回答表!F17="水道事業",IF([1]回答表!AD43="○",[1]回答表!B249,""),"")</f>
        <v/>
      </c>
      <c r="V99" s="107"/>
      <c r="W99" s="107"/>
      <c r="X99" s="107"/>
      <c r="Y99" s="107"/>
      <c r="Z99" s="107"/>
      <c r="AA99" s="107"/>
      <c r="AB99" s="107"/>
      <c r="AC99" s="107"/>
      <c r="AD99" s="107"/>
      <c r="AE99" s="107"/>
      <c r="AF99" s="107"/>
      <c r="AG99" s="107"/>
      <c r="AH99" s="107"/>
      <c r="AI99" s="107"/>
      <c r="AJ99" s="108"/>
      <c r="AK99" s="56"/>
      <c r="AL99" s="56"/>
      <c r="AM99" s="106" t="str">
        <f>IF([1]回答表!F17="水道事業",IF([1]回答表!AD43="○",[1]回答表!B255,""),"")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81"/>
      <c r="E100" s="181"/>
      <c r="F100" s="181"/>
      <c r="G100" s="181"/>
      <c r="H100" s="181"/>
      <c r="I100" s="181"/>
      <c r="J100" s="181"/>
      <c r="K100" s="181"/>
      <c r="L100" s="181"/>
      <c r="M100" s="182"/>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81"/>
      <c r="E101" s="181"/>
      <c r="F101" s="181"/>
      <c r="G101" s="181"/>
      <c r="H101" s="181"/>
      <c r="I101" s="181"/>
      <c r="J101" s="181"/>
      <c r="K101" s="181"/>
      <c r="L101" s="181"/>
      <c r="M101" s="182"/>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81"/>
      <c r="E102" s="181"/>
      <c r="F102" s="181"/>
      <c r="G102" s="181"/>
      <c r="H102" s="181"/>
      <c r="I102" s="181"/>
      <c r="J102" s="181"/>
      <c r="K102" s="181"/>
      <c r="L102" s="181"/>
      <c r="M102" s="182"/>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62"/>
      <c r="AS105" s="162"/>
      <c r="AT105" s="162"/>
      <c r="AU105" s="162"/>
      <c r="AV105" s="162"/>
      <c r="AW105" s="162"/>
      <c r="AX105" s="162"/>
      <c r="AY105" s="162"/>
      <c r="AZ105" s="162"/>
      <c r="BA105" s="162"/>
      <c r="BB105" s="162"/>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87"/>
      <c r="AS106" s="187"/>
      <c r="AT106" s="187"/>
      <c r="AU106" s="187"/>
      <c r="AV106" s="187"/>
      <c r="AW106" s="187"/>
      <c r="AX106" s="187"/>
      <c r="AY106" s="187"/>
      <c r="AZ106" s="187"/>
      <c r="BA106" s="187"/>
      <c r="BB106" s="187"/>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81" t="s">
        <v>18</v>
      </c>
      <c r="E111" s="181"/>
      <c r="F111" s="181"/>
      <c r="G111" s="181"/>
      <c r="H111" s="181"/>
      <c r="I111" s="181"/>
      <c r="J111" s="181"/>
      <c r="K111" s="181"/>
      <c r="L111" s="181"/>
      <c r="M111" s="181"/>
      <c r="N111" s="97" t="str">
        <f>IF([1]回答表!F17="簡易水道事業",IF([1]回答表!X43="○","○",""),"")</f>
        <v/>
      </c>
      <c r="O111" s="98"/>
      <c r="P111" s="98"/>
      <c r="Q111" s="99"/>
      <c r="R111" s="39"/>
      <c r="S111" s="39"/>
      <c r="T111" s="39"/>
      <c r="U111" s="188" t="s">
        <v>46</v>
      </c>
      <c r="V111" s="189"/>
      <c r="W111" s="189"/>
      <c r="X111" s="189"/>
      <c r="Y111" s="189"/>
      <c r="Z111" s="189"/>
      <c r="AA111" s="189"/>
      <c r="AB111" s="189"/>
      <c r="AC111" s="189"/>
      <c r="AD111" s="189"/>
      <c r="AE111" s="189"/>
      <c r="AF111" s="189"/>
      <c r="AG111" s="189"/>
      <c r="AH111" s="189"/>
      <c r="AI111" s="189"/>
      <c r="AJ111" s="198"/>
      <c r="AK111" s="50"/>
      <c r="AL111" s="50"/>
      <c r="AM111" s="106" t="str">
        <f>IF([1]回答表!F17="簡易水道事業",IF([1]回答表!X43="○",[1]回答表!B154,IF([1]回答表!AA43="○",[1]回答表!B201,"")),"")</f>
        <v/>
      </c>
      <c r="AN111" s="107"/>
      <c r="AO111" s="107"/>
      <c r="AP111" s="107"/>
      <c r="AQ111" s="107"/>
      <c r="AR111" s="107"/>
      <c r="AS111" s="107"/>
      <c r="AT111" s="107"/>
      <c r="AU111" s="107"/>
      <c r="AV111" s="107"/>
      <c r="AW111" s="107"/>
      <c r="AX111" s="107"/>
      <c r="AY111" s="107"/>
      <c r="AZ111" s="107"/>
      <c r="BA111" s="107"/>
      <c r="BB111" s="108"/>
      <c r="BC111" s="40"/>
      <c r="BD111" s="35"/>
      <c r="BE111" s="115" t="str">
        <f>IF([1]回答表!F17="簡易水道事業",IF([1]回答表!X43="○",[1]回答表!B190,IF([1]回答表!AA43="○",[1]回答表!B238,"")),"")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81"/>
      <c r="E112" s="181"/>
      <c r="F112" s="181"/>
      <c r="G112" s="181"/>
      <c r="H112" s="181"/>
      <c r="I112" s="181"/>
      <c r="J112" s="181"/>
      <c r="K112" s="181"/>
      <c r="L112" s="181"/>
      <c r="M112" s="181"/>
      <c r="N112" s="100"/>
      <c r="O112" s="101"/>
      <c r="P112" s="101"/>
      <c r="Q112" s="102"/>
      <c r="R112" s="39"/>
      <c r="S112" s="39"/>
      <c r="T112" s="39"/>
      <c r="U112" s="200"/>
      <c r="V112" s="201"/>
      <c r="W112" s="201"/>
      <c r="X112" s="201"/>
      <c r="Y112" s="201"/>
      <c r="Z112" s="201"/>
      <c r="AA112" s="201"/>
      <c r="AB112" s="201"/>
      <c r="AC112" s="201"/>
      <c r="AD112" s="201"/>
      <c r="AE112" s="201"/>
      <c r="AF112" s="201"/>
      <c r="AG112" s="201"/>
      <c r="AH112" s="201"/>
      <c r="AI112" s="201"/>
      <c r="AJ112" s="202"/>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81"/>
      <c r="E113" s="181"/>
      <c r="F113" s="181"/>
      <c r="G113" s="181"/>
      <c r="H113" s="181"/>
      <c r="I113" s="181"/>
      <c r="J113" s="181"/>
      <c r="K113" s="181"/>
      <c r="L113" s="181"/>
      <c r="M113" s="181"/>
      <c r="N113" s="100"/>
      <c r="O113" s="101"/>
      <c r="P113" s="101"/>
      <c r="Q113" s="102"/>
      <c r="R113" s="39"/>
      <c r="S113" s="39"/>
      <c r="T113" s="39"/>
      <c r="U113" s="118" t="str">
        <f>IF([1]回答表!F17="簡易水道事業",IF([1]回答表!X43="○",[1]回答表!Y181,IF([1]回答表!AA43="○",[1]回答表!Y229,"")),"")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81"/>
      <c r="E114" s="181"/>
      <c r="F114" s="181"/>
      <c r="G114" s="181"/>
      <c r="H114" s="181"/>
      <c r="I114" s="181"/>
      <c r="J114" s="181"/>
      <c r="K114" s="181"/>
      <c r="L114" s="181"/>
      <c r="M114" s="181"/>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IF([1]回答表!F17="簡易水道事業",IF([1]回答表!X43="○",[1]回答表!E190,IF([1]回答表!AA43="○",[1]回答表!E238,"")),"")</f>
        <v/>
      </c>
      <c r="BF114" s="83"/>
      <c r="BG114" s="83"/>
      <c r="BH114" s="83"/>
      <c r="BI114" s="82" t="str">
        <f>IF([1]回答表!F17="簡易水道事業",IF([1]回答表!X43="○",[1]回答表!E191,IF([1]回答表!AA43="○",[1]回答表!E239,"")),"")</f>
        <v/>
      </c>
      <c r="BJ114" s="83"/>
      <c r="BK114" s="83"/>
      <c r="BL114" s="83"/>
      <c r="BM114" s="82" t="str">
        <f>IF([1]回答表!F17="簡易水道事業",IF([1]回答表!X43="○",[1]回答表!E192,IF([1]回答表!AA43="○",[1]回答表!E240,"")),"")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88" t="s">
        <v>47</v>
      </c>
      <c r="V116" s="189"/>
      <c r="W116" s="189"/>
      <c r="X116" s="189"/>
      <c r="Y116" s="189"/>
      <c r="Z116" s="189"/>
      <c r="AA116" s="189"/>
      <c r="AB116" s="189"/>
      <c r="AC116" s="189"/>
      <c r="AD116" s="189"/>
      <c r="AE116" s="189"/>
      <c r="AF116" s="189"/>
      <c r="AG116" s="189"/>
      <c r="AH116" s="189"/>
      <c r="AI116" s="189"/>
      <c r="AJ116" s="198"/>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86" t="s">
        <v>26</v>
      </c>
      <c r="E117" s="181"/>
      <c r="F117" s="181"/>
      <c r="G117" s="181"/>
      <c r="H117" s="181"/>
      <c r="I117" s="181"/>
      <c r="J117" s="181"/>
      <c r="K117" s="181"/>
      <c r="L117" s="181"/>
      <c r="M117" s="182"/>
      <c r="N117" s="97" t="str">
        <f>IF([1]回答表!F17="簡易水道事業",IF([1]回答表!AA43="○","○",""),"")</f>
        <v/>
      </c>
      <c r="O117" s="98"/>
      <c r="P117" s="98"/>
      <c r="Q117" s="99"/>
      <c r="R117" s="39"/>
      <c r="S117" s="39"/>
      <c r="T117" s="39"/>
      <c r="U117" s="200"/>
      <c r="V117" s="201"/>
      <c r="W117" s="201"/>
      <c r="X117" s="201"/>
      <c r="Y117" s="201"/>
      <c r="Z117" s="201"/>
      <c r="AA117" s="201"/>
      <c r="AB117" s="201"/>
      <c r="AC117" s="201"/>
      <c r="AD117" s="201"/>
      <c r="AE117" s="201"/>
      <c r="AF117" s="201"/>
      <c r="AG117" s="201"/>
      <c r="AH117" s="201"/>
      <c r="AI117" s="201"/>
      <c r="AJ117" s="202"/>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81"/>
      <c r="E118" s="181"/>
      <c r="F118" s="181"/>
      <c r="G118" s="181"/>
      <c r="H118" s="181"/>
      <c r="I118" s="181"/>
      <c r="J118" s="181"/>
      <c r="K118" s="181"/>
      <c r="L118" s="181"/>
      <c r="M118" s="182"/>
      <c r="N118" s="100"/>
      <c r="O118" s="101"/>
      <c r="P118" s="101"/>
      <c r="Q118" s="102"/>
      <c r="R118" s="39"/>
      <c r="S118" s="39"/>
      <c r="T118" s="39"/>
      <c r="U118" s="118" t="str">
        <f>IF([1]回答表!F17="簡易水道事業",IF([1]回答表!X43="○",[1]回答表!Y182,IF([1]回答表!AA43="○",[1]回答表!Y230,"")),"")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81"/>
      <c r="E119" s="181"/>
      <c r="F119" s="181"/>
      <c r="G119" s="181"/>
      <c r="H119" s="181"/>
      <c r="I119" s="181"/>
      <c r="J119" s="181"/>
      <c r="K119" s="181"/>
      <c r="L119" s="181"/>
      <c r="M119" s="182"/>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81"/>
      <c r="E120" s="181"/>
      <c r="F120" s="181"/>
      <c r="G120" s="181"/>
      <c r="H120" s="181"/>
      <c r="I120" s="181"/>
      <c r="J120" s="181"/>
      <c r="K120" s="181"/>
      <c r="L120" s="181"/>
      <c r="M120" s="182"/>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81" t="s">
        <v>34</v>
      </c>
      <c r="E123" s="181"/>
      <c r="F123" s="181"/>
      <c r="G123" s="181"/>
      <c r="H123" s="181"/>
      <c r="I123" s="181"/>
      <c r="J123" s="181"/>
      <c r="K123" s="181"/>
      <c r="L123" s="181"/>
      <c r="M123" s="182"/>
      <c r="N123" s="97" t="str">
        <f>IF([1]回答表!F17="簡易水道事業",IF([1]回答表!AD43="○","○",""),"")</f>
        <v/>
      </c>
      <c r="O123" s="98"/>
      <c r="P123" s="98"/>
      <c r="Q123" s="99"/>
      <c r="R123" s="39"/>
      <c r="S123" s="39"/>
      <c r="T123" s="39"/>
      <c r="U123" s="106" t="str">
        <f>IF([1]回答表!F17="簡易水道事業",IF([1]回答表!AD43="○",[1]回答表!B249,""),"")</f>
        <v/>
      </c>
      <c r="V123" s="107"/>
      <c r="W123" s="107"/>
      <c r="X123" s="107"/>
      <c r="Y123" s="107"/>
      <c r="Z123" s="107"/>
      <c r="AA123" s="107"/>
      <c r="AB123" s="107"/>
      <c r="AC123" s="107"/>
      <c r="AD123" s="107"/>
      <c r="AE123" s="107"/>
      <c r="AF123" s="107"/>
      <c r="AG123" s="107"/>
      <c r="AH123" s="107"/>
      <c r="AI123" s="107"/>
      <c r="AJ123" s="108"/>
      <c r="AK123" s="56"/>
      <c r="AL123" s="56"/>
      <c r="AM123" s="106" t="str">
        <f>IF([1]回答表!F17="簡易水道事業",IF([1]回答表!AD43="○",[1]回答表!B255,""),"")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81"/>
      <c r="E124" s="181"/>
      <c r="F124" s="181"/>
      <c r="G124" s="181"/>
      <c r="H124" s="181"/>
      <c r="I124" s="181"/>
      <c r="J124" s="181"/>
      <c r="K124" s="181"/>
      <c r="L124" s="181"/>
      <c r="M124" s="182"/>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81"/>
      <c r="E125" s="181"/>
      <c r="F125" s="181"/>
      <c r="G125" s="181"/>
      <c r="H125" s="181"/>
      <c r="I125" s="181"/>
      <c r="J125" s="181"/>
      <c r="K125" s="181"/>
      <c r="L125" s="181"/>
      <c r="M125" s="182"/>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81"/>
      <c r="E126" s="181"/>
      <c r="F126" s="181"/>
      <c r="G126" s="181"/>
      <c r="H126" s="181"/>
      <c r="I126" s="181"/>
      <c r="J126" s="181"/>
      <c r="K126" s="181"/>
      <c r="L126" s="181"/>
      <c r="M126" s="182"/>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62"/>
      <c r="AS129" s="162"/>
      <c r="AT129" s="162"/>
      <c r="AU129" s="162"/>
      <c r="AV129" s="162"/>
      <c r="AW129" s="162"/>
      <c r="AX129" s="162"/>
      <c r="AY129" s="162"/>
      <c r="AZ129" s="162"/>
      <c r="BA129" s="162"/>
      <c r="BB129" s="162"/>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87"/>
      <c r="AS130" s="187"/>
      <c r="AT130" s="187"/>
      <c r="AU130" s="187"/>
      <c r="AV130" s="187"/>
      <c r="AW130" s="187"/>
      <c r="AX130" s="187"/>
      <c r="AY130" s="187"/>
      <c r="AZ130" s="187"/>
      <c r="BA130" s="187"/>
      <c r="BB130" s="187"/>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81" t="s">
        <v>18</v>
      </c>
      <c r="E135" s="181"/>
      <c r="F135" s="181"/>
      <c r="G135" s="181"/>
      <c r="H135" s="181"/>
      <c r="I135" s="181"/>
      <c r="J135" s="181"/>
      <c r="K135" s="181"/>
      <c r="L135" s="181"/>
      <c r="M135" s="181"/>
      <c r="N135" s="97" t="str">
        <f>IF([1]回答表!F17="下水道事業",IF([1]回答表!X43="○","○",""),"")</f>
        <v/>
      </c>
      <c r="O135" s="98"/>
      <c r="P135" s="98"/>
      <c r="Q135" s="99"/>
      <c r="R135" s="39"/>
      <c r="S135" s="39"/>
      <c r="T135" s="39"/>
      <c r="U135" s="188" t="s">
        <v>49</v>
      </c>
      <c r="V135" s="189"/>
      <c r="W135" s="189"/>
      <c r="X135" s="189"/>
      <c r="Y135" s="189"/>
      <c r="Z135" s="189"/>
      <c r="AA135" s="189"/>
      <c r="AB135" s="189"/>
      <c r="AC135" s="188" t="s">
        <v>50</v>
      </c>
      <c r="AD135" s="189"/>
      <c r="AE135" s="189"/>
      <c r="AF135" s="189"/>
      <c r="AG135" s="189"/>
      <c r="AH135" s="189"/>
      <c r="AI135" s="189"/>
      <c r="AJ135" s="198"/>
      <c r="AK135" s="50"/>
      <c r="AL135" s="50"/>
      <c r="AM135" s="203" t="str">
        <f>IF([1]回答表!F17="下水道事業",IF([1]回答表!X43="○",[1]回答表!B154,IF([1]回答表!AA43="○",[1]回答表!B201,"")),"")</f>
        <v>し尿受入施設を下水道終末処理場の大館処理センター敷地内に建設し、搬入されたし尿等を大館処理センターの汚泥処理系と共同処理をし、発生した脱水汚泥は秋田県の県北地区広域汚泥資源化施設で資源化する。これにより、現在の同等施設の更新建設事業費として900,000千円の削減が図られ、維持管理費等について年間70,000千円の削減が見込まれる。</v>
      </c>
      <c r="AN135" s="204"/>
      <c r="AO135" s="204"/>
      <c r="AP135" s="204"/>
      <c r="AQ135" s="204"/>
      <c r="AR135" s="204"/>
      <c r="AS135" s="204"/>
      <c r="AT135" s="204"/>
      <c r="AU135" s="204"/>
      <c r="AV135" s="204"/>
      <c r="AW135" s="204"/>
      <c r="AX135" s="204"/>
      <c r="AY135" s="204"/>
      <c r="AZ135" s="204"/>
      <c r="BA135" s="204"/>
      <c r="BB135" s="205"/>
      <c r="BC135" s="40"/>
      <c r="BD135" s="35"/>
      <c r="BE135" s="115" t="str">
        <f>IF([1]回答表!F17="下水道事業",IF([1]回答表!X43="○",[1]回答表!B190,IF([1]回答表!AA43="○",[1]回答表!B238,"")),"")</f>
        <v>令和</v>
      </c>
      <c r="BF135" s="116"/>
      <c r="BG135" s="116"/>
      <c r="BH135" s="116"/>
      <c r="BI135" s="115"/>
      <c r="BJ135" s="116"/>
      <c r="BK135" s="116"/>
      <c r="BL135" s="116"/>
      <c r="BM135" s="115"/>
      <c r="BN135" s="116"/>
      <c r="BO135" s="116"/>
      <c r="BP135" s="117"/>
      <c r="BQ135" s="38"/>
    </row>
    <row r="136" spans="3:69" ht="19.350000000000001" customHeight="1" x14ac:dyDescent="0.4">
      <c r="C136" s="33"/>
      <c r="D136" s="181"/>
      <c r="E136" s="181"/>
      <c r="F136" s="181"/>
      <c r="G136" s="181"/>
      <c r="H136" s="181"/>
      <c r="I136" s="181"/>
      <c r="J136" s="181"/>
      <c r="K136" s="181"/>
      <c r="L136" s="181"/>
      <c r="M136" s="181"/>
      <c r="N136" s="100"/>
      <c r="O136" s="101"/>
      <c r="P136" s="101"/>
      <c r="Q136" s="102"/>
      <c r="R136" s="39"/>
      <c r="S136" s="39"/>
      <c r="T136" s="39"/>
      <c r="U136" s="190"/>
      <c r="V136" s="191"/>
      <c r="W136" s="191"/>
      <c r="X136" s="191"/>
      <c r="Y136" s="191"/>
      <c r="Z136" s="191"/>
      <c r="AA136" s="191"/>
      <c r="AB136" s="191"/>
      <c r="AC136" s="190"/>
      <c r="AD136" s="191"/>
      <c r="AE136" s="191"/>
      <c r="AF136" s="191"/>
      <c r="AG136" s="191"/>
      <c r="AH136" s="191"/>
      <c r="AI136" s="191"/>
      <c r="AJ136" s="199"/>
      <c r="AK136" s="50"/>
      <c r="AL136" s="50"/>
      <c r="AM136" s="206"/>
      <c r="AN136" s="207"/>
      <c r="AO136" s="207"/>
      <c r="AP136" s="207"/>
      <c r="AQ136" s="207"/>
      <c r="AR136" s="207"/>
      <c r="AS136" s="207"/>
      <c r="AT136" s="207"/>
      <c r="AU136" s="207"/>
      <c r="AV136" s="207"/>
      <c r="AW136" s="207"/>
      <c r="AX136" s="207"/>
      <c r="AY136" s="207"/>
      <c r="AZ136" s="207"/>
      <c r="BA136" s="207"/>
      <c r="BB136" s="208"/>
      <c r="BC136" s="40"/>
      <c r="BD136" s="35"/>
      <c r="BE136" s="82"/>
      <c r="BF136" s="83"/>
      <c r="BG136" s="83"/>
      <c r="BH136" s="83"/>
      <c r="BI136" s="82"/>
      <c r="BJ136" s="83"/>
      <c r="BK136" s="83"/>
      <c r="BL136" s="83"/>
      <c r="BM136" s="82"/>
      <c r="BN136" s="83"/>
      <c r="BO136" s="83"/>
      <c r="BP136" s="86"/>
      <c r="BQ136" s="38"/>
    </row>
    <row r="137" spans="3:69" ht="15.6" customHeight="1" x14ac:dyDescent="0.4">
      <c r="C137" s="33"/>
      <c r="D137" s="181"/>
      <c r="E137" s="181"/>
      <c r="F137" s="181"/>
      <c r="G137" s="181"/>
      <c r="H137" s="181"/>
      <c r="I137" s="181"/>
      <c r="J137" s="181"/>
      <c r="K137" s="181"/>
      <c r="L137" s="181"/>
      <c r="M137" s="181"/>
      <c r="N137" s="100"/>
      <c r="O137" s="101"/>
      <c r="P137" s="101"/>
      <c r="Q137" s="102"/>
      <c r="R137" s="39"/>
      <c r="S137" s="39"/>
      <c r="T137" s="39"/>
      <c r="U137" s="118">
        <f>IF([1]回答表!F17="下水道事業",IF([1]回答表!X43="○",[1]回答表!Y184,IF([1]回答表!AA43="○",[1]回答表!Y232,"")),"")</f>
        <v>0</v>
      </c>
      <c r="V137" s="119"/>
      <c r="W137" s="119"/>
      <c r="X137" s="119"/>
      <c r="Y137" s="119"/>
      <c r="Z137" s="119"/>
      <c r="AA137" s="119"/>
      <c r="AB137" s="120"/>
      <c r="AC137" s="118" t="str">
        <f>IF([1]回答表!F17="下水道事業",IF([1]回答表!X43="○",[1]回答表!Y185,IF([1]回答表!AA43="○",[1]回答表!Y233,"")),"")</f>
        <v>○</v>
      </c>
      <c r="AD137" s="119"/>
      <c r="AE137" s="119"/>
      <c r="AF137" s="119"/>
      <c r="AG137" s="119"/>
      <c r="AH137" s="119"/>
      <c r="AI137" s="119"/>
      <c r="AJ137" s="120"/>
      <c r="AK137" s="50"/>
      <c r="AL137" s="50"/>
      <c r="AM137" s="206"/>
      <c r="AN137" s="207"/>
      <c r="AO137" s="207"/>
      <c r="AP137" s="207"/>
      <c r="AQ137" s="207"/>
      <c r="AR137" s="207"/>
      <c r="AS137" s="207"/>
      <c r="AT137" s="207"/>
      <c r="AU137" s="207"/>
      <c r="AV137" s="207"/>
      <c r="AW137" s="207"/>
      <c r="AX137" s="207"/>
      <c r="AY137" s="207"/>
      <c r="AZ137" s="207"/>
      <c r="BA137" s="207"/>
      <c r="BB137" s="208"/>
      <c r="BC137" s="40"/>
      <c r="BD137" s="35"/>
      <c r="BE137" s="82"/>
      <c r="BF137" s="83"/>
      <c r="BG137" s="83"/>
      <c r="BH137" s="83"/>
      <c r="BI137" s="82"/>
      <c r="BJ137" s="83"/>
      <c r="BK137" s="83"/>
      <c r="BL137" s="83"/>
      <c r="BM137" s="82"/>
      <c r="BN137" s="83"/>
      <c r="BO137" s="83"/>
      <c r="BP137" s="86"/>
      <c r="BQ137" s="38"/>
    </row>
    <row r="138" spans="3:69" ht="15.6" customHeight="1" x14ac:dyDescent="0.4">
      <c r="C138" s="33"/>
      <c r="D138" s="181"/>
      <c r="E138" s="181"/>
      <c r="F138" s="181"/>
      <c r="G138" s="181"/>
      <c r="H138" s="181"/>
      <c r="I138" s="181"/>
      <c r="J138" s="181"/>
      <c r="K138" s="181"/>
      <c r="L138" s="181"/>
      <c r="M138" s="181"/>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206"/>
      <c r="AN138" s="207"/>
      <c r="AO138" s="207"/>
      <c r="AP138" s="207"/>
      <c r="AQ138" s="207"/>
      <c r="AR138" s="207"/>
      <c r="AS138" s="207"/>
      <c r="AT138" s="207"/>
      <c r="AU138" s="207"/>
      <c r="AV138" s="207"/>
      <c r="AW138" s="207"/>
      <c r="AX138" s="207"/>
      <c r="AY138" s="207"/>
      <c r="AZ138" s="207"/>
      <c r="BA138" s="207"/>
      <c r="BB138" s="208"/>
      <c r="BC138" s="40"/>
      <c r="BD138" s="35"/>
      <c r="BE138" s="82">
        <f>IF([1]回答表!F17="下水道事業",IF([1]回答表!X43="○",[1]回答表!E190,IF([1]回答表!AA43="○",[1]回答表!E238,"")),"")</f>
        <v>2</v>
      </c>
      <c r="BF138" s="83"/>
      <c r="BG138" s="83"/>
      <c r="BH138" s="83"/>
      <c r="BI138" s="82">
        <f>IF([1]回答表!F17="下水道事業",IF([1]回答表!X43="○",[1]回答表!E191,IF([1]回答表!AA43="○",[1]回答表!E239,"")),"")</f>
        <v>8</v>
      </c>
      <c r="BJ138" s="83"/>
      <c r="BK138" s="83"/>
      <c r="BL138" s="83"/>
      <c r="BM138" s="82" t="str">
        <f>IF([1]回答表!F17="下水道事業",IF([1]回答表!X43="○",[1]回答表!E192,IF([1]回答表!AA43="○",[1]回答表!E240,"")),"")</f>
        <v xml:space="preserve"> </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206"/>
      <c r="AN139" s="207"/>
      <c r="AO139" s="207"/>
      <c r="AP139" s="207"/>
      <c r="AQ139" s="207"/>
      <c r="AR139" s="207"/>
      <c r="AS139" s="207"/>
      <c r="AT139" s="207"/>
      <c r="AU139" s="207"/>
      <c r="AV139" s="207"/>
      <c r="AW139" s="207"/>
      <c r="AX139" s="207"/>
      <c r="AY139" s="207"/>
      <c r="AZ139" s="207"/>
      <c r="BA139" s="207"/>
      <c r="BB139" s="208"/>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88" t="s">
        <v>51</v>
      </c>
      <c r="V140" s="189"/>
      <c r="W140" s="189"/>
      <c r="X140" s="189"/>
      <c r="Y140" s="189"/>
      <c r="Z140" s="189"/>
      <c r="AA140" s="189"/>
      <c r="AB140" s="189"/>
      <c r="AC140" s="192" t="s">
        <v>52</v>
      </c>
      <c r="AD140" s="193"/>
      <c r="AE140" s="193"/>
      <c r="AF140" s="193"/>
      <c r="AG140" s="193"/>
      <c r="AH140" s="193"/>
      <c r="AI140" s="193"/>
      <c r="AJ140" s="194"/>
      <c r="AK140" s="50"/>
      <c r="AL140" s="50"/>
      <c r="AM140" s="206"/>
      <c r="AN140" s="207"/>
      <c r="AO140" s="207"/>
      <c r="AP140" s="207"/>
      <c r="AQ140" s="207"/>
      <c r="AR140" s="207"/>
      <c r="AS140" s="207"/>
      <c r="AT140" s="207"/>
      <c r="AU140" s="207"/>
      <c r="AV140" s="207"/>
      <c r="AW140" s="207"/>
      <c r="AX140" s="207"/>
      <c r="AY140" s="207"/>
      <c r="AZ140" s="207"/>
      <c r="BA140" s="207"/>
      <c r="BB140" s="208"/>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86" t="s">
        <v>26</v>
      </c>
      <c r="E141" s="181"/>
      <c r="F141" s="181"/>
      <c r="G141" s="181"/>
      <c r="H141" s="181"/>
      <c r="I141" s="181"/>
      <c r="J141" s="181"/>
      <c r="K141" s="181"/>
      <c r="L141" s="181"/>
      <c r="M141" s="182"/>
      <c r="N141" s="97" t="str">
        <f>IF([1]回答表!F17="下水道事業",IF([1]回答表!AA43="○","○",""),"")</f>
        <v>○</v>
      </c>
      <c r="O141" s="98"/>
      <c r="P141" s="98"/>
      <c r="Q141" s="99"/>
      <c r="R141" s="39"/>
      <c r="S141" s="39"/>
      <c r="T141" s="39"/>
      <c r="U141" s="190"/>
      <c r="V141" s="191"/>
      <c r="W141" s="191"/>
      <c r="X141" s="191"/>
      <c r="Y141" s="191"/>
      <c r="Z141" s="191"/>
      <c r="AA141" s="191"/>
      <c r="AB141" s="191"/>
      <c r="AC141" s="195"/>
      <c r="AD141" s="196"/>
      <c r="AE141" s="196"/>
      <c r="AF141" s="196"/>
      <c r="AG141" s="196"/>
      <c r="AH141" s="196"/>
      <c r="AI141" s="196"/>
      <c r="AJ141" s="197"/>
      <c r="AK141" s="50"/>
      <c r="AL141" s="50"/>
      <c r="AM141" s="206"/>
      <c r="AN141" s="207"/>
      <c r="AO141" s="207"/>
      <c r="AP141" s="207"/>
      <c r="AQ141" s="207"/>
      <c r="AR141" s="207"/>
      <c r="AS141" s="207"/>
      <c r="AT141" s="207"/>
      <c r="AU141" s="207"/>
      <c r="AV141" s="207"/>
      <c r="AW141" s="207"/>
      <c r="AX141" s="207"/>
      <c r="AY141" s="207"/>
      <c r="AZ141" s="207"/>
      <c r="BA141" s="207"/>
      <c r="BB141" s="208"/>
      <c r="BC141" s="40"/>
      <c r="BD141" s="54"/>
      <c r="BE141" s="82"/>
      <c r="BF141" s="83"/>
      <c r="BG141" s="83"/>
      <c r="BH141" s="83"/>
      <c r="BI141" s="82"/>
      <c r="BJ141" s="83"/>
      <c r="BK141" s="83"/>
      <c r="BL141" s="83"/>
      <c r="BM141" s="82"/>
      <c r="BN141" s="83"/>
      <c r="BO141" s="83"/>
      <c r="BP141" s="86"/>
      <c r="BQ141" s="38"/>
    </row>
    <row r="142" spans="3:69" ht="15.6" customHeight="1" x14ac:dyDescent="0.4">
      <c r="C142" s="33"/>
      <c r="D142" s="181"/>
      <c r="E142" s="181"/>
      <c r="F142" s="181"/>
      <c r="G142" s="181"/>
      <c r="H142" s="181"/>
      <c r="I142" s="181"/>
      <c r="J142" s="181"/>
      <c r="K142" s="181"/>
      <c r="L142" s="181"/>
      <c r="M142" s="182"/>
      <c r="N142" s="100"/>
      <c r="O142" s="101"/>
      <c r="P142" s="101"/>
      <c r="Q142" s="102"/>
      <c r="R142" s="39"/>
      <c r="S142" s="39"/>
      <c r="T142" s="39"/>
      <c r="U142" s="118">
        <f>IF([1]回答表!F17="下水道事業",IF([1]回答表!X43="○",[1]回答表!Y186,IF([1]回答表!AA43="○",[1]回答表!Y234,"")),"")</f>
        <v>0</v>
      </c>
      <c r="V142" s="119"/>
      <c r="W142" s="119"/>
      <c r="X142" s="119"/>
      <c r="Y142" s="119"/>
      <c r="Z142" s="119"/>
      <c r="AA142" s="119"/>
      <c r="AB142" s="120"/>
      <c r="AC142" s="118">
        <f>IF([1]回答表!F17="下水道事業",IF([1]回答表!X43="○",[1]回答表!Y187,IF([1]回答表!AA43="○",[1]回答表!Y235,"")),"")</f>
        <v>0</v>
      </c>
      <c r="AD142" s="119"/>
      <c r="AE142" s="119"/>
      <c r="AF142" s="119"/>
      <c r="AG142" s="119"/>
      <c r="AH142" s="119"/>
      <c r="AI142" s="119"/>
      <c r="AJ142" s="120"/>
      <c r="AK142" s="50"/>
      <c r="AL142" s="50"/>
      <c r="AM142" s="206"/>
      <c r="AN142" s="207"/>
      <c r="AO142" s="207"/>
      <c r="AP142" s="207"/>
      <c r="AQ142" s="207"/>
      <c r="AR142" s="207"/>
      <c r="AS142" s="207"/>
      <c r="AT142" s="207"/>
      <c r="AU142" s="207"/>
      <c r="AV142" s="207"/>
      <c r="AW142" s="207"/>
      <c r="AX142" s="207"/>
      <c r="AY142" s="207"/>
      <c r="AZ142" s="207"/>
      <c r="BA142" s="207"/>
      <c r="BB142" s="208"/>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81"/>
      <c r="E143" s="181"/>
      <c r="F143" s="181"/>
      <c r="G143" s="181"/>
      <c r="H143" s="181"/>
      <c r="I143" s="181"/>
      <c r="J143" s="181"/>
      <c r="K143" s="181"/>
      <c r="L143" s="181"/>
      <c r="M143" s="182"/>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206"/>
      <c r="AN143" s="207"/>
      <c r="AO143" s="207"/>
      <c r="AP143" s="207"/>
      <c r="AQ143" s="207"/>
      <c r="AR143" s="207"/>
      <c r="AS143" s="207"/>
      <c r="AT143" s="207"/>
      <c r="AU143" s="207"/>
      <c r="AV143" s="207"/>
      <c r="AW143" s="207"/>
      <c r="AX143" s="207"/>
      <c r="AY143" s="207"/>
      <c r="AZ143" s="207"/>
      <c r="BA143" s="207"/>
      <c r="BB143" s="208"/>
      <c r="BC143" s="40"/>
      <c r="BD143" s="54"/>
      <c r="BE143" s="82"/>
      <c r="BF143" s="83"/>
      <c r="BG143" s="83"/>
      <c r="BH143" s="83"/>
      <c r="BI143" s="82"/>
      <c r="BJ143" s="83"/>
      <c r="BK143" s="83"/>
      <c r="BL143" s="83"/>
      <c r="BM143" s="82"/>
      <c r="BN143" s="83"/>
      <c r="BO143" s="83"/>
      <c r="BP143" s="86"/>
      <c r="BQ143" s="38"/>
    </row>
    <row r="144" spans="3:69" ht="15.6" customHeight="1" x14ac:dyDescent="0.4">
      <c r="C144" s="33"/>
      <c r="D144" s="181"/>
      <c r="E144" s="181"/>
      <c r="F144" s="181"/>
      <c r="G144" s="181"/>
      <c r="H144" s="181"/>
      <c r="I144" s="181"/>
      <c r="J144" s="181"/>
      <c r="K144" s="181"/>
      <c r="L144" s="181"/>
      <c r="M144" s="182"/>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209"/>
      <c r="AN144" s="210"/>
      <c r="AO144" s="210"/>
      <c r="AP144" s="210"/>
      <c r="AQ144" s="210"/>
      <c r="AR144" s="210"/>
      <c r="AS144" s="210"/>
      <c r="AT144" s="210"/>
      <c r="AU144" s="210"/>
      <c r="AV144" s="210"/>
      <c r="AW144" s="210"/>
      <c r="AX144" s="210"/>
      <c r="AY144" s="210"/>
      <c r="AZ144" s="210"/>
      <c r="BA144" s="210"/>
      <c r="BB144" s="211"/>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81" t="s">
        <v>34</v>
      </c>
      <c r="E147" s="181"/>
      <c r="F147" s="181"/>
      <c r="G147" s="181"/>
      <c r="H147" s="181"/>
      <c r="I147" s="181"/>
      <c r="J147" s="181"/>
      <c r="K147" s="181"/>
      <c r="L147" s="181"/>
      <c r="M147" s="182"/>
      <c r="N147" s="97" t="str">
        <f>IF([1]回答表!F17="下水道事業",IF([1]回答表!AD43="○","○",""),"")</f>
        <v/>
      </c>
      <c r="O147" s="98"/>
      <c r="P147" s="98"/>
      <c r="Q147" s="99"/>
      <c r="R147" s="39"/>
      <c r="S147" s="39"/>
      <c r="T147" s="39"/>
      <c r="U147" s="106" t="str">
        <f>IF([1]回答表!F17="下水道事業",IF([1]回答表!AD43="○",[1]回答表!B249,""),"")</f>
        <v/>
      </c>
      <c r="V147" s="107"/>
      <c r="W147" s="107"/>
      <c r="X147" s="107"/>
      <c r="Y147" s="107"/>
      <c r="Z147" s="107"/>
      <c r="AA147" s="107"/>
      <c r="AB147" s="107"/>
      <c r="AC147" s="107"/>
      <c r="AD147" s="107"/>
      <c r="AE147" s="107"/>
      <c r="AF147" s="107"/>
      <c r="AG147" s="107"/>
      <c r="AH147" s="107"/>
      <c r="AI147" s="107"/>
      <c r="AJ147" s="108"/>
      <c r="AK147" s="56"/>
      <c r="AL147" s="56"/>
      <c r="AM147" s="106" t="str">
        <f>IF([1]回答表!F17="下水道事業",IF([1]回答表!AD43="○",[1]回答表!B255,""),"")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81"/>
      <c r="E148" s="181"/>
      <c r="F148" s="181"/>
      <c r="G148" s="181"/>
      <c r="H148" s="181"/>
      <c r="I148" s="181"/>
      <c r="J148" s="181"/>
      <c r="K148" s="181"/>
      <c r="L148" s="181"/>
      <c r="M148" s="182"/>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81"/>
      <c r="E149" s="181"/>
      <c r="F149" s="181"/>
      <c r="G149" s="181"/>
      <c r="H149" s="181"/>
      <c r="I149" s="181"/>
      <c r="J149" s="181"/>
      <c r="K149" s="181"/>
      <c r="L149" s="181"/>
      <c r="M149" s="182"/>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81"/>
      <c r="E150" s="181"/>
      <c r="F150" s="181"/>
      <c r="G150" s="181"/>
      <c r="H150" s="181"/>
      <c r="I150" s="181"/>
      <c r="J150" s="181"/>
      <c r="K150" s="181"/>
      <c r="L150" s="181"/>
      <c r="M150" s="182"/>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62"/>
      <c r="AS153" s="162"/>
      <c r="AT153" s="162"/>
      <c r="AU153" s="162"/>
      <c r="AV153" s="162"/>
      <c r="AW153" s="162"/>
      <c r="AX153" s="162"/>
      <c r="AY153" s="162"/>
      <c r="AZ153" s="162"/>
      <c r="BA153" s="162"/>
      <c r="BB153" s="162"/>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87"/>
      <c r="AS154" s="187"/>
      <c r="AT154" s="187"/>
      <c r="AU154" s="187"/>
      <c r="AV154" s="187"/>
      <c r="AW154" s="187"/>
      <c r="AX154" s="187"/>
      <c r="AY154" s="187"/>
      <c r="AZ154" s="187"/>
      <c r="BA154" s="187"/>
      <c r="BB154" s="187"/>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81" t="s">
        <v>18</v>
      </c>
      <c r="E159" s="181"/>
      <c r="F159" s="181"/>
      <c r="G159" s="181"/>
      <c r="H159" s="181"/>
      <c r="I159" s="181"/>
      <c r="J159" s="181"/>
      <c r="K159" s="181"/>
      <c r="L159" s="181"/>
      <c r="M159" s="181"/>
      <c r="N159" s="97" t="str">
        <f>IF([1]回答表!BD17="○",IF([1]回答表!X43="○","○",""),"")</f>
        <v/>
      </c>
      <c r="O159" s="98"/>
      <c r="P159" s="98"/>
      <c r="Q159" s="99"/>
      <c r="R159" s="39"/>
      <c r="S159" s="39"/>
      <c r="T159" s="39"/>
      <c r="U159" s="106" t="str">
        <f>IF([1]回答表!BD17="○",IF([1]回答表!X43="○",[1]回答表!B154,IF([1]回答表!AA43="○",[1]回答表!B201,"")),"")</f>
        <v/>
      </c>
      <c r="V159" s="107"/>
      <c r="W159" s="107"/>
      <c r="X159" s="107"/>
      <c r="Y159" s="107"/>
      <c r="Z159" s="107"/>
      <c r="AA159" s="107"/>
      <c r="AB159" s="107"/>
      <c r="AC159" s="107"/>
      <c r="AD159" s="107"/>
      <c r="AE159" s="107"/>
      <c r="AF159" s="107"/>
      <c r="AG159" s="107"/>
      <c r="AH159" s="107"/>
      <c r="AI159" s="107"/>
      <c r="AJ159" s="108"/>
      <c r="AK159" s="50"/>
      <c r="AL159" s="50"/>
      <c r="AM159" s="115" t="str">
        <f>IF([1]回答表!BD17="○",IF([1]回答表!X43="○",[1]回答表!B190,IF([1]回答表!AA43="○",[1]回答表!B238,"")),"")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81"/>
      <c r="E160" s="181"/>
      <c r="F160" s="181"/>
      <c r="G160" s="181"/>
      <c r="H160" s="181"/>
      <c r="I160" s="181"/>
      <c r="J160" s="181"/>
      <c r="K160" s="181"/>
      <c r="L160" s="181"/>
      <c r="M160" s="181"/>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81"/>
      <c r="E161" s="181"/>
      <c r="F161" s="181"/>
      <c r="G161" s="181"/>
      <c r="H161" s="181"/>
      <c r="I161" s="181"/>
      <c r="J161" s="181"/>
      <c r="K161" s="181"/>
      <c r="L161" s="181"/>
      <c r="M161" s="181"/>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81"/>
      <c r="E162" s="181"/>
      <c r="F162" s="181"/>
      <c r="G162" s="181"/>
      <c r="H162" s="181"/>
      <c r="I162" s="181"/>
      <c r="J162" s="181"/>
      <c r="K162" s="181"/>
      <c r="L162" s="181"/>
      <c r="M162" s="181"/>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IF([1]回答表!BD17="○",IF([1]回答表!X43="○",[1]回答表!E190,IF([1]回答表!AA43="○",[1]回答表!E238,"")),"")</f>
        <v/>
      </c>
      <c r="AN162" s="83"/>
      <c r="AO162" s="83"/>
      <c r="AP162" s="83"/>
      <c r="AQ162" s="82" t="str">
        <f>IF([1]回答表!BD17="○",IF([1]回答表!X43="○",[1]回答表!E191,IF([1]回答表!AA43="○",[1]回答表!E239,"")),"")</f>
        <v/>
      </c>
      <c r="AR162" s="83"/>
      <c r="AS162" s="83"/>
      <c r="AT162" s="83"/>
      <c r="AU162" s="82" t="str">
        <f>IF([1]回答表!BD17="○",IF([1]回答表!X43="○",[1]回答表!E192,IF([1]回答表!AA43="○",[1]回答表!E240,"")),"")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86" t="s">
        <v>26</v>
      </c>
      <c r="E165" s="181"/>
      <c r="F165" s="181"/>
      <c r="G165" s="181"/>
      <c r="H165" s="181"/>
      <c r="I165" s="181"/>
      <c r="J165" s="181"/>
      <c r="K165" s="181"/>
      <c r="L165" s="181"/>
      <c r="M165" s="182"/>
      <c r="N165" s="97" t="str">
        <f>IF([1]回答表!BD17="○",IF([1]回答表!AA43="○","○",""),"")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81"/>
      <c r="E166" s="181"/>
      <c r="F166" s="181"/>
      <c r="G166" s="181"/>
      <c r="H166" s="181"/>
      <c r="I166" s="181"/>
      <c r="J166" s="181"/>
      <c r="K166" s="181"/>
      <c r="L166" s="181"/>
      <c r="M166" s="182"/>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81"/>
      <c r="E167" s="181"/>
      <c r="F167" s="181"/>
      <c r="G167" s="181"/>
      <c r="H167" s="181"/>
      <c r="I167" s="181"/>
      <c r="J167" s="181"/>
      <c r="K167" s="181"/>
      <c r="L167" s="181"/>
      <c r="M167" s="182"/>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81"/>
      <c r="E168" s="181"/>
      <c r="F168" s="181"/>
      <c r="G168" s="181"/>
      <c r="H168" s="181"/>
      <c r="I168" s="181"/>
      <c r="J168" s="181"/>
      <c r="K168" s="181"/>
      <c r="L168" s="181"/>
      <c r="M168" s="182"/>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81" t="s">
        <v>34</v>
      </c>
      <c r="E171" s="181"/>
      <c r="F171" s="181"/>
      <c r="G171" s="181"/>
      <c r="H171" s="181"/>
      <c r="I171" s="181"/>
      <c r="J171" s="181"/>
      <c r="K171" s="181"/>
      <c r="L171" s="181"/>
      <c r="M171" s="182"/>
      <c r="N171" s="97" t="str">
        <f>IF([1]回答表!BD17="○",IF([1]回答表!AD43="○","○",""),"")</f>
        <v/>
      </c>
      <c r="O171" s="98"/>
      <c r="P171" s="98"/>
      <c r="Q171" s="99"/>
      <c r="R171" s="39"/>
      <c r="S171" s="39"/>
      <c r="T171" s="39"/>
      <c r="U171" s="106" t="str">
        <f>IF([1]回答表!BD17="○",IF([1]回答表!AD43="○",[1]回答表!B249,""),"")</f>
        <v/>
      </c>
      <c r="V171" s="107"/>
      <c r="W171" s="107"/>
      <c r="X171" s="107"/>
      <c r="Y171" s="107"/>
      <c r="Z171" s="107"/>
      <c r="AA171" s="107"/>
      <c r="AB171" s="107"/>
      <c r="AC171" s="107"/>
      <c r="AD171" s="107"/>
      <c r="AE171" s="107"/>
      <c r="AF171" s="107"/>
      <c r="AG171" s="107"/>
      <c r="AH171" s="107"/>
      <c r="AI171" s="107"/>
      <c r="AJ171" s="108"/>
      <c r="AK171" s="56"/>
      <c r="AL171" s="56"/>
      <c r="AM171" s="106" t="str">
        <f>IF([1]回答表!BD17="○",IF([1]回答表!AD43="○",[1]回答表!B255,""),"")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81"/>
      <c r="E172" s="181"/>
      <c r="F172" s="181"/>
      <c r="G172" s="181"/>
      <c r="H172" s="181"/>
      <c r="I172" s="181"/>
      <c r="J172" s="181"/>
      <c r="K172" s="181"/>
      <c r="L172" s="181"/>
      <c r="M172" s="182"/>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81"/>
      <c r="E173" s="181"/>
      <c r="F173" s="181"/>
      <c r="G173" s="181"/>
      <c r="H173" s="181"/>
      <c r="I173" s="181"/>
      <c r="J173" s="181"/>
      <c r="K173" s="181"/>
      <c r="L173" s="181"/>
      <c r="M173" s="182"/>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81"/>
      <c r="E174" s="181"/>
      <c r="F174" s="181"/>
      <c r="G174" s="181"/>
      <c r="H174" s="181"/>
      <c r="I174" s="181"/>
      <c r="J174" s="181"/>
      <c r="K174" s="181"/>
      <c r="L174" s="181"/>
      <c r="M174" s="182"/>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62"/>
      <c r="AS177" s="162"/>
      <c r="AT177" s="162"/>
      <c r="AU177" s="162"/>
      <c r="AV177" s="162"/>
      <c r="AW177" s="162"/>
      <c r="AX177" s="162"/>
      <c r="AY177" s="162"/>
      <c r="AZ177" s="162"/>
      <c r="BA177" s="162"/>
      <c r="BB177" s="162"/>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87"/>
      <c r="AS178" s="187"/>
      <c r="AT178" s="187"/>
      <c r="AU178" s="187"/>
      <c r="AV178" s="187"/>
      <c r="AW178" s="187"/>
      <c r="AX178" s="187"/>
      <c r="AY178" s="187"/>
      <c r="AZ178" s="187"/>
      <c r="BA178" s="187"/>
      <c r="BB178" s="187"/>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81" t="s">
        <v>18</v>
      </c>
      <c r="E183" s="181"/>
      <c r="F183" s="181"/>
      <c r="G183" s="181"/>
      <c r="H183" s="181"/>
      <c r="I183" s="181"/>
      <c r="J183" s="181"/>
      <c r="K183" s="181"/>
      <c r="L183" s="181"/>
      <c r="M183" s="181"/>
      <c r="N183" s="97" t="str">
        <f>IF([1]回答表!X44="○","○","")</f>
        <v/>
      </c>
      <c r="O183" s="98"/>
      <c r="P183" s="98"/>
      <c r="Q183" s="99"/>
      <c r="R183" s="39"/>
      <c r="S183" s="39"/>
      <c r="T183" s="39"/>
      <c r="U183" s="106" t="str">
        <f>IF([1]回答表!X44="○",[1]回答表!B266,IF([1]回答表!AA44="○",[1]回答表!B283,""))</f>
        <v/>
      </c>
      <c r="V183" s="107"/>
      <c r="W183" s="107"/>
      <c r="X183" s="107"/>
      <c r="Y183" s="107"/>
      <c r="Z183" s="107"/>
      <c r="AA183" s="107"/>
      <c r="AB183" s="107"/>
      <c r="AC183" s="107"/>
      <c r="AD183" s="107"/>
      <c r="AE183" s="107"/>
      <c r="AF183" s="107"/>
      <c r="AG183" s="107"/>
      <c r="AH183" s="107"/>
      <c r="AI183" s="107"/>
      <c r="AJ183" s="108"/>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IF([1]回答表!X44="○",[1]回答表!U272,IF([1]回答表!AA44="○",[1]回答表!U289,""))</f>
        <v/>
      </c>
      <c r="BF183" s="116"/>
      <c r="BG183" s="116"/>
      <c r="BH183" s="116"/>
      <c r="BI183" s="115"/>
      <c r="BJ183" s="116"/>
      <c r="BK183" s="116"/>
      <c r="BL183" s="116"/>
      <c r="BM183" s="115"/>
      <c r="BN183" s="116"/>
      <c r="BO183" s="116"/>
      <c r="BP183" s="117"/>
      <c r="BQ183" s="38"/>
      <c r="BR183" s="25"/>
    </row>
    <row r="184" spans="3:70" ht="15.6" customHeight="1" x14ac:dyDescent="0.4">
      <c r="C184" s="33"/>
      <c r="D184" s="181"/>
      <c r="E184" s="181"/>
      <c r="F184" s="181"/>
      <c r="G184" s="181"/>
      <c r="H184" s="181"/>
      <c r="I184" s="181"/>
      <c r="J184" s="181"/>
      <c r="K184" s="181"/>
      <c r="L184" s="181"/>
      <c r="M184" s="181"/>
      <c r="N184" s="100"/>
      <c r="O184" s="101"/>
      <c r="P184" s="101"/>
      <c r="Q184" s="102"/>
      <c r="R184" s="39"/>
      <c r="S184" s="39"/>
      <c r="T184" s="39"/>
      <c r="U184" s="109"/>
      <c r="V184" s="110"/>
      <c r="W184" s="110"/>
      <c r="X184" s="110"/>
      <c r="Y184" s="110"/>
      <c r="Z184" s="110"/>
      <c r="AA184" s="110"/>
      <c r="AB184" s="110"/>
      <c r="AC184" s="110"/>
      <c r="AD184" s="110"/>
      <c r="AE184" s="110"/>
      <c r="AF184" s="110"/>
      <c r="AG184" s="110"/>
      <c r="AH184" s="110"/>
      <c r="AI184" s="110"/>
      <c r="AJ184" s="111"/>
      <c r="AK184" s="50"/>
      <c r="AL184" s="50"/>
      <c r="AM184" s="183"/>
      <c r="AN184" s="184"/>
      <c r="AO184" s="184"/>
      <c r="AP184" s="184"/>
      <c r="AQ184" s="184"/>
      <c r="AR184" s="184"/>
      <c r="AS184" s="184"/>
      <c r="AT184" s="185"/>
      <c r="AU184" s="183"/>
      <c r="AV184" s="184"/>
      <c r="AW184" s="184"/>
      <c r="AX184" s="184"/>
      <c r="AY184" s="184"/>
      <c r="AZ184" s="184"/>
      <c r="BA184" s="184"/>
      <c r="BB184" s="185"/>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81"/>
      <c r="E185" s="181"/>
      <c r="F185" s="181"/>
      <c r="G185" s="181"/>
      <c r="H185" s="181"/>
      <c r="I185" s="181"/>
      <c r="J185" s="181"/>
      <c r="K185" s="181"/>
      <c r="L185" s="181"/>
      <c r="M185" s="181"/>
      <c r="N185" s="100"/>
      <c r="O185" s="101"/>
      <c r="P185" s="101"/>
      <c r="Q185" s="102"/>
      <c r="R185" s="39"/>
      <c r="S185" s="39"/>
      <c r="T185" s="39"/>
      <c r="U185" s="109"/>
      <c r="V185" s="110"/>
      <c r="W185" s="110"/>
      <c r="X185" s="110"/>
      <c r="Y185" s="110"/>
      <c r="Z185" s="110"/>
      <c r="AA185" s="110"/>
      <c r="AB185" s="110"/>
      <c r="AC185" s="110"/>
      <c r="AD185" s="110"/>
      <c r="AE185" s="110"/>
      <c r="AF185" s="110"/>
      <c r="AG185" s="110"/>
      <c r="AH185" s="110"/>
      <c r="AI185" s="110"/>
      <c r="AJ185" s="111"/>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81"/>
      <c r="E186" s="181"/>
      <c r="F186" s="181"/>
      <c r="G186" s="181"/>
      <c r="H186" s="181"/>
      <c r="I186" s="181"/>
      <c r="J186" s="181"/>
      <c r="K186" s="181"/>
      <c r="L186" s="181"/>
      <c r="M186" s="181"/>
      <c r="N186" s="103"/>
      <c r="O186" s="104"/>
      <c r="P186" s="104"/>
      <c r="Q186" s="105"/>
      <c r="R186" s="39"/>
      <c r="S186" s="39"/>
      <c r="T186" s="39"/>
      <c r="U186" s="109"/>
      <c r="V186" s="110"/>
      <c r="W186" s="110"/>
      <c r="X186" s="110"/>
      <c r="Y186" s="110"/>
      <c r="Z186" s="110"/>
      <c r="AA186" s="110"/>
      <c r="AB186" s="110"/>
      <c r="AC186" s="110"/>
      <c r="AD186" s="110"/>
      <c r="AE186" s="110"/>
      <c r="AF186" s="110"/>
      <c r="AG186" s="110"/>
      <c r="AH186" s="110"/>
      <c r="AI186" s="110"/>
      <c r="AJ186" s="111"/>
      <c r="AK186" s="50"/>
      <c r="AL186" s="50"/>
      <c r="AM186" s="118" t="str">
        <f>IF([1]回答表!X44="○",[1]回答表!G272,IF([1]回答表!AA44="○",[1]回答表!G289,""))</f>
        <v/>
      </c>
      <c r="AN186" s="119"/>
      <c r="AO186" s="119"/>
      <c r="AP186" s="119"/>
      <c r="AQ186" s="119"/>
      <c r="AR186" s="119"/>
      <c r="AS186" s="119"/>
      <c r="AT186" s="120"/>
      <c r="AU186" s="118" t="str">
        <f>IF([1]回答表!X44="○",[1]回答表!G273,IF([1]回答表!AA44="○",[1]回答表!G290,""))</f>
        <v/>
      </c>
      <c r="AV186" s="119"/>
      <c r="AW186" s="119"/>
      <c r="AX186" s="119"/>
      <c r="AY186" s="119"/>
      <c r="AZ186" s="119"/>
      <c r="BA186" s="119"/>
      <c r="BB186" s="120"/>
      <c r="BC186" s="40"/>
      <c r="BD186" s="35"/>
      <c r="BE186" s="82" t="str">
        <f>IF([1]回答表!X44="○",[1]回答表!X272,IF([1]回答表!AA44="○",[1]回答表!X289,""))</f>
        <v/>
      </c>
      <c r="BF186" s="83"/>
      <c r="BG186" s="83"/>
      <c r="BH186" s="83"/>
      <c r="BI186" s="82" t="str">
        <f>IF([1]回答表!X44="○",[1]回答表!X273,IF([1]回答表!AA44="○",[1]回答表!X290,""))</f>
        <v/>
      </c>
      <c r="BJ186" s="83"/>
      <c r="BK186" s="83"/>
      <c r="BL186" s="86"/>
      <c r="BM186" s="82" t="str">
        <f>IF([1]回答表!X44="○",[1]回答表!X274,IF([1]回答表!AA44="○",[1]回答表!X291,""))</f>
        <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09"/>
      <c r="V187" s="110"/>
      <c r="W187" s="110"/>
      <c r="X187" s="110"/>
      <c r="Y187" s="110"/>
      <c r="Z187" s="110"/>
      <c r="AA187" s="110"/>
      <c r="AB187" s="110"/>
      <c r="AC187" s="110"/>
      <c r="AD187" s="110"/>
      <c r="AE187" s="110"/>
      <c r="AF187" s="110"/>
      <c r="AG187" s="110"/>
      <c r="AH187" s="110"/>
      <c r="AI187" s="110"/>
      <c r="AJ187" s="111"/>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09"/>
      <c r="V188" s="110"/>
      <c r="W188" s="110"/>
      <c r="X188" s="110"/>
      <c r="Y188" s="110"/>
      <c r="Z188" s="110"/>
      <c r="AA188" s="110"/>
      <c r="AB188" s="110"/>
      <c r="AC188" s="110"/>
      <c r="AD188" s="110"/>
      <c r="AE188" s="110"/>
      <c r="AF188" s="110"/>
      <c r="AG188" s="110"/>
      <c r="AH188" s="110"/>
      <c r="AI188" s="110"/>
      <c r="AJ188" s="111"/>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86" t="s">
        <v>26</v>
      </c>
      <c r="E189" s="181"/>
      <c r="F189" s="181"/>
      <c r="G189" s="181"/>
      <c r="H189" s="181"/>
      <c r="I189" s="181"/>
      <c r="J189" s="181"/>
      <c r="K189" s="181"/>
      <c r="L189" s="181"/>
      <c r="M189" s="182"/>
      <c r="N189" s="97" t="str">
        <f>IF([1]回答表!AA44="○","○","")</f>
        <v/>
      </c>
      <c r="O189" s="98"/>
      <c r="P189" s="98"/>
      <c r="Q189" s="99"/>
      <c r="R189" s="39"/>
      <c r="S189" s="39"/>
      <c r="T189" s="39"/>
      <c r="U189" s="109"/>
      <c r="V189" s="110"/>
      <c r="W189" s="110"/>
      <c r="X189" s="110"/>
      <c r="Y189" s="110"/>
      <c r="Z189" s="110"/>
      <c r="AA189" s="110"/>
      <c r="AB189" s="110"/>
      <c r="AC189" s="110"/>
      <c r="AD189" s="110"/>
      <c r="AE189" s="110"/>
      <c r="AF189" s="110"/>
      <c r="AG189" s="110"/>
      <c r="AH189" s="110"/>
      <c r="AI189" s="110"/>
      <c r="AJ189" s="111"/>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81"/>
      <c r="E190" s="181"/>
      <c r="F190" s="181"/>
      <c r="G190" s="181"/>
      <c r="H190" s="181"/>
      <c r="I190" s="181"/>
      <c r="J190" s="181"/>
      <c r="K190" s="181"/>
      <c r="L190" s="181"/>
      <c r="M190" s="182"/>
      <c r="N190" s="100"/>
      <c r="O190" s="101"/>
      <c r="P190" s="101"/>
      <c r="Q190" s="102"/>
      <c r="R190" s="39"/>
      <c r="S190" s="39"/>
      <c r="T190" s="39"/>
      <c r="U190" s="109"/>
      <c r="V190" s="110"/>
      <c r="W190" s="110"/>
      <c r="X190" s="110"/>
      <c r="Y190" s="110"/>
      <c r="Z190" s="110"/>
      <c r="AA190" s="110"/>
      <c r="AB190" s="110"/>
      <c r="AC190" s="110"/>
      <c r="AD190" s="110"/>
      <c r="AE190" s="110"/>
      <c r="AF190" s="110"/>
      <c r="AG190" s="110"/>
      <c r="AH190" s="110"/>
      <c r="AI190" s="110"/>
      <c r="AJ190" s="111"/>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81"/>
      <c r="E191" s="181"/>
      <c r="F191" s="181"/>
      <c r="G191" s="181"/>
      <c r="H191" s="181"/>
      <c r="I191" s="181"/>
      <c r="J191" s="181"/>
      <c r="K191" s="181"/>
      <c r="L191" s="181"/>
      <c r="M191" s="182"/>
      <c r="N191" s="100"/>
      <c r="O191" s="101"/>
      <c r="P191" s="101"/>
      <c r="Q191" s="102"/>
      <c r="R191" s="39"/>
      <c r="S191" s="39"/>
      <c r="T191" s="39"/>
      <c r="U191" s="109"/>
      <c r="V191" s="110"/>
      <c r="W191" s="110"/>
      <c r="X191" s="110"/>
      <c r="Y191" s="110"/>
      <c r="Z191" s="110"/>
      <c r="AA191" s="110"/>
      <c r="AB191" s="110"/>
      <c r="AC191" s="110"/>
      <c r="AD191" s="110"/>
      <c r="AE191" s="110"/>
      <c r="AF191" s="110"/>
      <c r="AG191" s="110"/>
      <c r="AH191" s="110"/>
      <c r="AI191" s="110"/>
      <c r="AJ191" s="111"/>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81"/>
      <c r="E192" s="181"/>
      <c r="F192" s="181"/>
      <c r="G192" s="181"/>
      <c r="H192" s="181"/>
      <c r="I192" s="181"/>
      <c r="J192" s="181"/>
      <c r="K192" s="181"/>
      <c r="L192" s="181"/>
      <c r="M192" s="182"/>
      <c r="N192" s="103"/>
      <c r="O192" s="104"/>
      <c r="P192" s="104"/>
      <c r="Q192" s="105"/>
      <c r="R192" s="39"/>
      <c r="S192" s="39"/>
      <c r="T192" s="39"/>
      <c r="U192" s="112"/>
      <c r="V192" s="113"/>
      <c r="W192" s="113"/>
      <c r="X192" s="113"/>
      <c r="Y192" s="113"/>
      <c r="Z192" s="113"/>
      <c r="AA192" s="113"/>
      <c r="AB192" s="113"/>
      <c r="AC192" s="113"/>
      <c r="AD192" s="113"/>
      <c r="AE192" s="113"/>
      <c r="AF192" s="113"/>
      <c r="AG192" s="113"/>
      <c r="AH192" s="113"/>
      <c r="AI192" s="113"/>
      <c r="AJ192" s="114"/>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81" t="s">
        <v>34</v>
      </c>
      <c r="E195" s="181"/>
      <c r="F195" s="181"/>
      <c r="G195" s="181"/>
      <c r="H195" s="181"/>
      <c r="I195" s="181"/>
      <c r="J195" s="181"/>
      <c r="K195" s="181"/>
      <c r="L195" s="181"/>
      <c r="M195" s="182"/>
      <c r="N195" s="97" t="str">
        <f>IF([1]回答表!AD44="○","○","")</f>
        <v/>
      </c>
      <c r="O195" s="98"/>
      <c r="P195" s="98"/>
      <c r="Q195" s="99"/>
      <c r="R195" s="39"/>
      <c r="S195" s="39"/>
      <c r="T195" s="39"/>
      <c r="U195" s="106" t="str">
        <f>IF([1]回答表!AD44="○",[1]回答表!B296,"")</f>
        <v/>
      </c>
      <c r="V195" s="107"/>
      <c r="W195" s="107"/>
      <c r="X195" s="107"/>
      <c r="Y195" s="107"/>
      <c r="Z195" s="107"/>
      <c r="AA195" s="107"/>
      <c r="AB195" s="107"/>
      <c r="AC195" s="107"/>
      <c r="AD195" s="107"/>
      <c r="AE195" s="107"/>
      <c r="AF195" s="107"/>
      <c r="AG195" s="107"/>
      <c r="AH195" s="107"/>
      <c r="AI195" s="107"/>
      <c r="AJ195" s="108"/>
      <c r="AK195" s="61"/>
      <c r="AL195" s="61"/>
      <c r="AM195" s="106" t="str">
        <f>IF([1]回答表!AD44="○",[1]回答表!B302,"")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81"/>
      <c r="E196" s="181"/>
      <c r="F196" s="181"/>
      <c r="G196" s="181"/>
      <c r="H196" s="181"/>
      <c r="I196" s="181"/>
      <c r="J196" s="181"/>
      <c r="K196" s="181"/>
      <c r="L196" s="181"/>
      <c r="M196" s="182"/>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81"/>
      <c r="E197" s="181"/>
      <c r="F197" s="181"/>
      <c r="G197" s="181"/>
      <c r="H197" s="181"/>
      <c r="I197" s="181"/>
      <c r="J197" s="181"/>
      <c r="K197" s="181"/>
      <c r="L197" s="181"/>
      <c r="M197" s="182"/>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81"/>
      <c r="E198" s="181"/>
      <c r="F198" s="181"/>
      <c r="G198" s="181"/>
      <c r="H198" s="181"/>
      <c r="I198" s="181"/>
      <c r="J198" s="181"/>
      <c r="K198" s="181"/>
      <c r="L198" s="181"/>
      <c r="M198" s="182"/>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62"/>
      <c r="AS201" s="162"/>
      <c r="AT201" s="162"/>
      <c r="AU201" s="162"/>
      <c r="AV201" s="162"/>
      <c r="AW201" s="162"/>
      <c r="AX201" s="162"/>
      <c r="AY201" s="162"/>
      <c r="AZ201" s="162"/>
      <c r="BA201" s="162"/>
      <c r="BB201" s="162"/>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63"/>
      <c r="AS202" s="163"/>
      <c r="AT202" s="163"/>
      <c r="AU202" s="163"/>
      <c r="AV202" s="163"/>
      <c r="AW202" s="163"/>
      <c r="AX202" s="163"/>
      <c r="AY202" s="163"/>
      <c r="AZ202" s="163"/>
      <c r="BA202" s="163"/>
      <c r="BB202" s="163"/>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IF([1]回答表!X45="○","○","")</f>
        <v/>
      </c>
      <c r="O207" s="98"/>
      <c r="P207" s="98"/>
      <c r="Q207" s="99"/>
      <c r="R207" s="39"/>
      <c r="S207" s="39"/>
      <c r="T207" s="39"/>
      <c r="U207" s="106" t="str">
        <f>IF([1]回答表!X45="○",[1]回答表!B314,IF([1]回答表!AA45="○",[1]回答表!B337,""))</f>
        <v/>
      </c>
      <c r="V207" s="107"/>
      <c r="W207" s="107"/>
      <c r="X207" s="107"/>
      <c r="Y207" s="107"/>
      <c r="Z207" s="107"/>
      <c r="AA207" s="107"/>
      <c r="AB207" s="107"/>
      <c r="AC207" s="107"/>
      <c r="AD207" s="107"/>
      <c r="AE207" s="107"/>
      <c r="AF207" s="107"/>
      <c r="AG207" s="107"/>
      <c r="AH207" s="107"/>
      <c r="AI207" s="107"/>
      <c r="AJ207" s="108"/>
      <c r="AK207" s="50"/>
      <c r="AL207" s="50"/>
      <c r="AM207" s="50"/>
      <c r="AN207" s="106" t="str">
        <f>IF([1]回答表!X45="○",[1]回答表!B320,"")</f>
        <v/>
      </c>
      <c r="AO207" s="173"/>
      <c r="AP207" s="173"/>
      <c r="AQ207" s="173"/>
      <c r="AR207" s="173"/>
      <c r="AS207" s="173"/>
      <c r="AT207" s="173"/>
      <c r="AU207" s="173"/>
      <c r="AV207" s="173"/>
      <c r="AW207" s="173"/>
      <c r="AX207" s="173"/>
      <c r="AY207" s="173"/>
      <c r="AZ207" s="173"/>
      <c r="BA207" s="173"/>
      <c r="BB207" s="174"/>
      <c r="BC207" s="40"/>
      <c r="BD207" s="35"/>
      <c r="BE207" s="115" t="str">
        <f>IF([1]回答表!X45="○",[1]回答表!B326,IF([1]回答表!AA45="○",[1]回答表!B343,""))</f>
        <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75"/>
      <c r="AO208" s="176"/>
      <c r="AP208" s="176"/>
      <c r="AQ208" s="176"/>
      <c r="AR208" s="176"/>
      <c r="AS208" s="176"/>
      <c r="AT208" s="176"/>
      <c r="AU208" s="176"/>
      <c r="AV208" s="176"/>
      <c r="AW208" s="176"/>
      <c r="AX208" s="176"/>
      <c r="AY208" s="176"/>
      <c r="AZ208" s="176"/>
      <c r="BA208" s="176"/>
      <c r="BB208" s="177"/>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75"/>
      <c r="AO209" s="176"/>
      <c r="AP209" s="176"/>
      <c r="AQ209" s="176"/>
      <c r="AR209" s="176"/>
      <c r="AS209" s="176"/>
      <c r="AT209" s="176"/>
      <c r="AU209" s="176"/>
      <c r="AV209" s="176"/>
      <c r="AW209" s="176"/>
      <c r="AX209" s="176"/>
      <c r="AY209" s="176"/>
      <c r="AZ209" s="176"/>
      <c r="BA209" s="176"/>
      <c r="BB209" s="177"/>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75"/>
      <c r="AO210" s="176"/>
      <c r="AP210" s="176"/>
      <c r="AQ210" s="176"/>
      <c r="AR210" s="176"/>
      <c r="AS210" s="176"/>
      <c r="AT210" s="176"/>
      <c r="AU210" s="176"/>
      <c r="AV210" s="176"/>
      <c r="AW210" s="176"/>
      <c r="AX210" s="176"/>
      <c r="AY210" s="176"/>
      <c r="AZ210" s="176"/>
      <c r="BA210" s="176"/>
      <c r="BB210" s="177"/>
      <c r="BC210" s="40"/>
      <c r="BD210" s="35"/>
      <c r="BE210" s="82" t="str">
        <f>IF([1]回答表!X45="○",[1]回答表!E326,IF([1]回答表!AA45="○",[1]回答表!E343,""))</f>
        <v/>
      </c>
      <c r="BF210" s="83"/>
      <c r="BG210" s="83"/>
      <c r="BH210" s="83"/>
      <c r="BI210" s="82" t="str">
        <f>IF([1]回答表!X45="○",[1]回答表!E327,IF([1]回答表!AA45="○",[1]回答表!E344,""))</f>
        <v/>
      </c>
      <c r="BJ210" s="83"/>
      <c r="BK210" s="83"/>
      <c r="BL210" s="86"/>
      <c r="BM210" s="82" t="str">
        <f>IF([1]回答表!X45="○",[1]回答表!E328,IF([1]回答表!AA45="○",[1]回答表!E345,""))</f>
        <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75"/>
      <c r="AO211" s="176"/>
      <c r="AP211" s="176"/>
      <c r="AQ211" s="176"/>
      <c r="AR211" s="176"/>
      <c r="AS211" s="176"/>
      <c r="AT211" s="176"/>
      <c r="AU211" s="176"/>
      <c r="AV211" s="176"/>
      <c r="AW211" s="176"/>
      <c r="AX211" s="176"/>
      <c r="AY211" s="176"/>
      <c r="AZ211" s="176"/>
      <c r="BA211" s="176"/>
      <c r="BB211" s="177"/>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75"/>
      <c r="AO212" s="176"/>
      <c r="AP212" s="176"/>
      <c r="AQ212" s="176"/>
      <c r="AR212" s="176"/>
      <c r="AS212" s="176"/>
      <c r="AT212" s="176"/>
      <c r="AU212" s="176"/>
      <c r="AV212" s="176"/>
      <c r="AW212" s="176"/>
      <c r="AX212" s="176"/>
      <c r="AY212" s="176"/>
      <c r="AZ212" s="176"/>
      <c r="BA212" s="176"/>
      <c r="BB212" s="177"/>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IF([1]回答表!AA45="○","○","")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75"/>
      <c r="AO213" s="176"/>
      <c r="AP213" s="176"/>
      <c r="AQ213" s="176"/>
      <c r="AR213" s="176"/>
      <c r="AS213" s="176"/>
      <c r="AT213" s="176"/>
      <c r="AU213" s="176"/>
      <c r="AV213" s="176"/>
      <c r="AW213" s="176"/>
      <c r="AX213" s="176"/>
      <c r="AY213" s="176"/>
      <c r="AZ213" s="176"/>
      <c r="BA213" s="176"/>
      <c r="BB213" s="177"/>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75"/>
      <c r="AO214" s="176"/>
      <c r="AP214" s="176"/>
      <c r="AQ214" s="176"/>
      <c r="AR214" s="176"/>
      <c r="AS214" s="176"/>
      <c r="AT214" s="176"/>
      <c r="AU214" s="176"/>
      <c r="AV214" s="176"/>
      <c r="AW214" s="176"/>
      <c r="AX214" s="176"/>
      <c r="AY214" s="176"/>
      <c r="AZ214" s="176"/>
      <c r="BA214" s="176"/>
      <c r="BB214" s="177"/>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75"/>
      <c r="AO215" s="176"/>
      <c r="AP215" s="176"/>
      <c r="AQ215" s="176"/>
      <c r="AR215" s="176"/>
      <c r="AS215" s="176"/>
      <c r="AT215" s="176"/>
      <c r="AU215" s="176"/>
      <c r="AV215" s="176"/>
      <c r="AW215" s="176"/>
      <c r="AX215" s="176"/>
      <c r="AY215" s="176"/>
      <c r="AZ215" s="176"/>
      <c r="BA215" s="176"/>
      <c r="BB215" s="177"/>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78"/>
      <c r="AO216" s="179"/>
      <c r="AP216" s="179"/>
      <c r="AQ216" s="179"/>
      <c r="AR216" s="179"/>
      <c r="AS216" s="179"/>
      <c r="AT216" s="179"/>
      <c r="AU216" s="179"/>
      <c r="AV216" s="179"/>
      <c r="AW216" s="179"/>
      <c r="AX216" s="179"/>
      <c r="AY216" s="179"/>
      <c r="AZ216" s="179"/>
      <c r="BA216" s="179"/>
      <c r="BB216" s="180"/>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IF([1]回答表!AD45="○","○","")</f>
        <v/>
      </c>
      <c r="O219" s="98"/>
      <c r="P219" s="98"/>
      <c r="Q219" s="99"/>
      <c r="R219" s="39"/>
      <c r="S219" s="39"/>
      <c r="T219" s="39"/>
      <c r="U219" s="106" t="str">
        <f>IF([1]回答表!AD45="○",[1]回答表!B350,"")</f>
        <v/>
      </c>
      <c r="V219" s="107"/>
      <c r="W219" s="107"/>
      <c r="X219" s="107"/>
      <c r="Y219" s="107"/>
      <c r="Z219" s="107"/>
      <c r="AA219" s="107"/>
      <c r="AB219" s="107"/>
      <c r="AC219" s="107"/>
      <c r="AD219" s="107"/>
      <c r="AE219" s="107"/>
      <c r="AF219" s="107"/>
      <c r="AG219" s="107"/>
      <c r="AH219" s="107"/>
      <c r="AI219" s="107"/>
      <c r="AJ219" s="108"/>
      <c r="AK219" s="61"/>
      <c r="AL219" s="61"/>
      <c r="AM219" s="106" t="str">
        <f>IF([1]回答表!AD45="○",[1]回答表!B356,"")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62"/>
      <c r="AS225" s="162"/>
      <c r="AT225" s="162"/>
      <c r="AU225" s="162"/>
      <c r="AV225" s="162"/>
      <c r="AW225" s="162"/>
      <c r="AX225" s="162"/>
      <c r="AY225" s="162"/>
      <c r="AZ225" s="162"/>
      <c r="BA225" s="162"/>
      <c r="BB225" s="162"/>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63"/>
      <c r="AS226" s="163"/>
      <c r="AT226" s="163"/>
      <c r="AU226" s="163"/>
      <c r="AV226" s="163"/>
      <c r="AW226" s="163"/>
      <c r="AX226" s="163"/>
      <c r="AY226" s="163"/>
      <c r="AZ226" s="163"/>
      <c r="BA226" s="163"/>
      <c r="BB226" s="163"/>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IF([1]回答表!X46="○","○","")</f>
        <v/>
      </c>
      <c r="O231" s="98"/>
      <c r="P231" s="98"/>
      <c r="Q231" s="99"/>
      <c r="R231" s="39"/>
      <c r="S231" s="39"/>
      <c r="T231" s="39"/>
      <c r="U231" s="106" t="str">
        <f>IF([1]回答表!X46="○",[1]回答表!B368,IF([1]回答表!AA46="○",[1]回答表!B382,""))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IF([1]回答表!X46="○",[1]回答表!BC375,IF([1]回答表!AA46="○",[1]回答表!BC389,""))</f>
        <v/>
      </c>
      <c r="AR231" s="150"/>
      <c r="AS231" s="150"/>
      <c r="AT231" s="150"/>
      <c r="AU231" s="164" t="s">
        <v>63</v>
      </c>
      <c r="AV231" s="165"/>
      <c r="AW231" s="165"/>
      <c r="AX231" s="166"/>
      <c r="AY231" s="150" t="str">
        <f>IF([1]回答表!X46="○",[1]回答表!BC380,IF([1]回答表!AA46="○",[1]回答表!BC394,""))</f>
        <v/>
      </c>
      <c r="AZ231" s="150"/>
      <c r="BA231" s="150"/>
      <c r="BB231" s="150"/>
      <c r="BC231" s="40"/>
      <c r="BD231" s="35"/>
      <c r="BE231" s="115" t="str">
        <f>IF([1]回答表!X46="○",[1]回答表!S374,IF([1]回答表!AA46="○",[1]回答表!S388,""))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67"/>
      <c r="AV232" s="168"/>
      <c r="AW232" s="168"/>
      <c r="AX232" s="169"/>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IF([1]回答表!X46="○",[1]回答表!BC376,IF([1]回答表!AA46="○",[1]回答表!BC390,""))</f>
        <v/>
      </c>
      <c r="AR233" s="150"/>
      <c r="AS233" s="150"/>
      <c r="AT233" s="150"/>
      <c r="AU233" s="167"/>
      <c r="AV233" s="168"/>
      <c r="AW233" s="168"/>
      <c r="AX233" s="169"/>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67"/>
      <c r="AV234" s="168"/>
      <c r="AW234" s="168"/>
      <c r="AX234" s="169"/>
      <c r="AY234" s="150"/>
      <c r="AZ234" s="150"/>
      <c r="BA234" s="150"/>
      <c r="BB234" s="150"/>
      <c r="BC234" s="40"/>
      <c r="BD234" s="35"/>
      <c r="BE234" s="82" t="str">
        <f>IF([1]回答表!X46="○",[1]回答表!V374,IF([1]回答表!AA46="○",[1]回答表!V388,""))</f>
        <v/>
      </c>
      <c r="BF234" s="83"/>
      <c r="BG234" s="83"/>
      <c r="BH234" s="83"/>
      <c r="BI234" s="82" t="str">
        <f>IF([1]回答表!X46="○",[1]回答表!V375,IF([1]回答表!AA46="○",[1]回答表!V389,""))</f>
        <v/>
      </c>
      <c r="BJ234" s="83"/>
      <c r="BK234" s="83"/>
      <c r="BL234" s="86"/>
      <c r="BM234" s="82" t="str">
        <f>IF([1]回答表!X46="○",[1]回答表!V376,IF([1]回答表!AA46="○",[1]回答表!V390,""))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IF([1]回答表!X46="○",[1]回答表!BC377,IF([1]回答表!AA46="○",[1]回答表!BC391,""))</f>
        <v/>
      </c>
      <c r="AR235" s="150"/>
      <c r="AS235" s="150"/>
      <c r="AT235" s="150"/>
      <c r="AU235" s="170"/>
      <c r="AV235" s="171"/>
      <c r="AW235" s="171"/>
      <c r="AX235" s="172"/>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60" t="str">
        <f>IF([1]回答表!X46="○",[1]回答表!BC381,IF([1]回答表!AA46="○",[1]回答表!BC395,""))</f>
        <v/>
      </c>
      <c r="AZ236" s="160"/>
      <c r="BA236" s="160"/>
      <c r="BB236" s="160"/>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IF([1]回答表!AA46="○","○","")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61" t="str">
        <f>IF([1]回答表!X46="○",[1]回答表!BC378,IF([1]回答表!AA46="○",[1]回答表!BC392,""))</f>
        <v/>
      </c>
      <c r="AR237" s="150"/>
      <c r="AS237" s="150"/>
      <c r="AT237" s="150"/>
      <c r="AU237" s="149"/>
      <c r="AV237" s="149"/>
      <c r="AW237" s="149"/>
      <c r="AX237" s="149"/>
      <c r="AY237" s="160"/>
      <c r="AZ237" s="160"/>
      <c r="BA237" s="160"/>
      <c r="BB237" s="160"/>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60"/>
      <c r="AZ238" s="160"/>
      <c r="BA238" s="160"/>
      <c r="BB238" s="160"/>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IF([1]回答表!X46="○",[1]回答表!BC379,IF([1]回答表!AA46="○",[1]回答表!BC393,""))</f>
        <v/>
      </c>
      <c r="AR239" s="150"/>
      <c r="AS239" s="150"/>
      <c r="AT239" s="150"/>
      <c r="AU239" s="149"/>
      <c r="AV239" s="149"/>
      <c r="AW239" s="149"/>
      <c r="AX239" s="149"/>
      <c r="AY239" s="160"/>
      <c r="AZ239" s="160"/>
      <c r="BA239" s="160"/>
      <c r="BB239" s="160"/>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60"/>
      <c r="AZ240" s="160"/>
      <c r="BA240" s="160"/>
      <c r="BB240" s="160"/>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IF([1]回答表!AD46="○","○","")</f>
        <v/>
      </c>
      <c r="O243" s="98"/>
      <c r="P243" s="98"/>
      <c r="Q243" s="99"/>
      <c r="R243" s="39"/>
      <c r="S243" s="39"/>
      <c r="T243" s="39"/>
      <c r="U243" s="106" t="str">
        <f>IF([1]回答表!AD46="○",[1]回答表!B396,"")</f>
        <v/>
      </c>
      <c r="V243" s="107"/>
      <c r="W243" s="107"/>
      <c r="X243" s="107"/>
      <c r="Y243" s="107"/>
      <c r="Z243" s="107"/>
      <c r="AA243" s="107"/>
      <c r="AB243" s="107"/>
      <c r="AC243" s="107"/>
      <c r="AD243" s="107"/>
      <c r="AE243" s="107"/>
      <c r="AF243" s="107"/>
      <c r="AG243" s="107"/>
      <c r="AH243" s="107"/>
      <c r="AI243" s="107"/>
      <c r="AJ243" s="108"/>
      <c r="AK243" s="56"/>
      <c r="AL243" s="56"/>
      <c r="AM243" s="106" t="str">
        <f>IF([1]回答表!AD46="○",[1]回答表!B402,"")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IF([1]回答表!X47="○","○","")</f>
        <v/>
      </c>
      <c r="O254" s="98"/>
      <c r="P254" s="98"/>
      <c r="Q254" s="99"/>
      <c r="R254" s="39"/>
      <c r="S254" s="39"/>
      <c r="T254" s="39"/>
      <c r="U254" s="106" t="str">
        <f>IF([1]回答表!X47="○",[1]回答表!B414,IF([1]回答表!AA47="○",[1]回答表!B431,""))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IF([1]回答表!X47="○",[1]回答表!B424,IF([1]回答表!AA47="○",[1]回答表!B441,""))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IF([1]回答表!X47="○",[1]回答表!G420,IF([1]回答表!AA47="○",[1]回答表!G437,""))</f>
        <v/>
      </c>
      <c r="AN256" s="119"/>
      <c r="AO256" s="119"/>
      <c r="AP256" s="119"/>
      <c r="AQ256" s="119"/>
      <c r="AR256" s="119"/>
      <c r="AS256" s="119"/>
      <c r="AT256" s="120"/>
      <c r="AU256" s="118" t="str">
        <f>IF([1]回答表!X47="○",[1]回答表!G421,IF([1]回答表!AA47="○",[1]回答表!G438,""))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IF([1]回答表!X47="○",[1]回答表!E424,IF([1]回答表!AA47="○",[1]回答表!E441,""))</f>
        <v/>
      </c>
      <c r="BF257" s="83"/>
      <c r="BG257" s="83"/>
      <c r="BH257" s="83"/>
      <c r="BI257" s="82" t="str">
        <f>IF([1]回答表!X47="○",[1]回答表!E425,IF([1]回答表!AA47="○",[1]回答表!E442,""))</f>
        <v/>
      </c>
      <c r="BJ257" s="83"/>
      <c r="BK257" s="83"/>
      <c r="BL257" s="86"/>
      <c r="BM257" s="82" t="str">
        <f>IF([1]回答表!X47="○",[1]回答表!E426,IF([1]回答表!AA47="○",[1]回答表!E443,""))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IF([1]回答表!AA47="○","○","")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IF([1]回答表!AD47="○","○","")</f>
        <v/>
      </c>
      <c r="O266" s="98"/>
      <c r="P266" s="98"/>
      <c r="Q266" s="99"/>
      <c r="R266" s="39"/>
      <c r="S266" s="39"/>
      <c r="T266" s="39"/>
      <c r="U266" s="106" t="str">
        <f>IF([1]回答表!AD47="○",[1]回答表!B448,"")</f>
        <v/>
      </c>
      <c r="V266" s="107"/>
      <c r="W266" s="107"/>
      <c r="X266" s="107"/>
      <c r="Y266" s="107"/>
      <c r="Z266" s="107"/>
      <c r="AA266" s="107"/>
      <c r="AB266" s="107"/>
      <c r="AC266" s="107"/>
      <c r="AD266" s="107"/>
      <c r="AE266" s="107"/>
      <c r="AF266" s="107"/>
      <c r="AG266" s="107"/>
      <c r="AH266" s="107"/>
      <c r="AI266" s="107"/>
      <c r="AJ266" s="108"/>
      <c r="AK266" s="50"/>
      <c r="AL266" s="50"/>
      <c r="AM266" s="106" t="str">
        <f>IF([1]回答表!AD47="○",[1]回答表!B454,"")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IF([1]回答表!R48="○",[1]回答表!B467,"")</f>
        <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BE207:BH209"/>
    <mergeCell ref="BI207:BL209"/>
    <mergeCell ref="BM207:BP209"/>
    <mergeCell ref="BI135:BL137"/>
    <mergeCell ref="BM135:BP137"/>
    <mergeCell ref="C275:BQ277"/>
    <mergeCell ref="D279:BP297"/>
    <mergeCell ref="BE87:BH89"/>
    <mergeCell ref="BI87:BL89"/>
    <mergeCell ref="BM87:BP89"/>
    <mergeCell ref="BE90:BH93"/>
    <mergeCell ref="D52:M55"/>
    <mergeCell ref="N52:Q55"/>
    <mergeCell ref="U52:AJ55"/>
    <mergeCell ref="AM52:BP55"/>
    <mergeCell ref="BI36:BL38"/>
    <mergeCell ref="BM36:BP38"/>
    <mergeCell ref="AM38:AT40"/>
    <mergeCell ref="AU38:BB40"/>
    <mergeCell ref="BE214:BH216"/>
    <mergeCell ref="BI214:BL216"/>
    <mergeCell ref="BM214:BP216"/>
    <mergeCell ref="BE210:BH213"/>
    <mergeCell ref="BI210:BL213"/>
    <mergeCell ref="BM210:BP213"/>
    <mergeCell ref="BI111:BL113"/>
    <mergeCell ref="BM111:BP113"/>
    <mergeCell ref="BI114:BL117"/>
    <mergeCell ref="BM114:BP117"/>
    <mergeCell ref="BI118:BL120"/>
    <mergeCell ref="BM118:BP120"/>
    <mergeCell ref="BE135:BH137"/>
    <mergeCell ref="BI90:BL93"/>
    <mergeCell ref="BM90:BP93"/>
    <mergeCell ref="BE94:BH96"/>
    <mergeCell ref="D36:M39"/>
    <mergeCell ref="N36:Q39"/>
    <mergeCell ref="U36:AJ47"/>
    <mergeCell ref="AM36:AT37"/>
    <mergeCell ref="BF8:BP10"/>
    <mergeCell ref="BF11:BP13"/>
    <mergeCell ref="AM24:AS26"/>
    <mergeCell ref="AT24:AZ26"/>
    <mergeCell ref="U8:AN10"/>
    <mergeCell ref="U11:AN13"/>
    <mergeCell ref="D24:J26"/>
    <mergeCell ref="K24:Q26"/>
    <mergeCell ref="D18:AZ19"/>
    <mergeCell ref="D20:J23"/>
    <mergeCell ref="K20:Q23"/>
    <mergeCell ref="R20:X23"/>
    <mergeCell ref="Y20:AZ22"/>
    <mergeCell ref="D32:Q33"/>
    <mergeCell ref="R32:BB33"/>
    <mergeCell ref="BM39:BP42"/>
    <mergeCell ref="BM43:BP45"/>
    <mergeCell ref="C8:T10"/>
    <mergeCell ref="D44:M47"/>
    <mergeCell ref="N44:Q47"/>
    <mergeCell ref="BE39:BH42"/>
    <mergeCell ref="BI39:BL42"/>
    <mergeCell ref="BE43:BH45"/>
    <mergeCell ref="BI43:BL45"/>
    <mergeCell ref="AO44:BB44"/>
    <mergeCell ref="AO45:BB45"/>
    <mergeCell ref="AO46:BB46"/>
    <mergeCell ref="R24:X26"/>
    <mergeCell ref="Y24:AE26"/>
    <mergeCell ref="AF24:AL26"/>
    <mergeCell ref="BB20:BJ23"/>
    <mergeCell ref="BB24:BJ26"/>
    <mergeCell ref="AU36:BB37"/>
    <mergeCell ref="BE36:BH38"/>
    <mergeCell ref="AO11:BE13"/>
    <mergeCell ref="AO8:BE10"/>
    <mergeCell ref="AR31:BB31"/>
    <mergeCell ref="Y23:AE23"/>
    <mergeCell ref="AF23:AL23"/>
    <mergeCell ref="AM23:AS23"/>
    <mergeCell ref="AT23:AZ23"/>
    <mergeCell ref="D59:Q60"/>
    <mergeCell ref="R59:BB60"/>
    <mergeCell ref="D63:M66"/>
    <mergeCell ref="N63:Q66"/>
    <mergeCell ref="U63:AJ72"/>
    <mergeCell ref="AM63:AT65"/>
    <mergeCell ref="AU63:BB65"/>
    <mergeCell ref="D69:M72"/>
    <mergeCell ref="N69:Q72"/>
    <mergeCell ref="BI63:BL65"/>
    <mergeCell ref="BM63:BP65"/>
    <mergeCell ref="AM66:AT68"/>
    <mergeCell ref="AU66:BB68"/>
    <mergeCell ref="BE66:BH69"/>
    <mergeCell ref="AO47:BB47"/>
    <mergeCell ref="AO48:BB48"/>
    <mergeCell ref="AM42:AN42"/>
    <mergeCell ref="AM43:AN43"/>
    <mergeCell ref="AM44:AN44"/>
    <mergeCell ref="AM45:AN45"/>
    <mergeCell ref="AO42:BB42"/>
    <mergeCell ref="AO43:BB43"/>
    <mergeCell ref="AM46:AN46"/>
    <mergeCell ref="AM47:AN47"/>
    <mergeCell ref="AR58:BB58"/>
    <mergeCell ref="BI66:BL69"/>
    <mergeCell ref="BM66:BP69"/>
    <mergeCell ref="BE70:BH72"/>
    <mergeCell ref="BI70:BL72"/>
    <mergeCell ref="BM70:BP72"/>
    <mergeCell ref="D87:M90"/>
    <mergeCell ref="N87:Q90"/>
    <mergeCell ref="U87:AB88"/>
    <mergeCell ref="AC87:AJ88"/>
    <mergeCell ref="AM87:BB96"/>
    <mergeCell ref="D75:M78"/>
    <mergeCell ref="N75:Q78"/>
    <mergeCell ref="U75:AJ78"/>
    <mergeCell ref="AM75:BP78"/>
    <mergeCell ref="BI94:BL96"/>
    <mergeCell ref="BM94:BP96"/>
    <mergeCell ref="AR81:BB82"/>
    <mergeCell ref="BE138:BH141"/>
    <mergeCell ref="BI138:BL141"/>
    <mergeCell ref="BM138:BP141"/>
    <mergeCell ref="U140:AB141"/>
    <mergeCell ref="AC140:AJ141"/>
    <mergeCell ref="D93:M96"/>
    <mergeCell ref="N93:Q96"/>
    <mergeCell ref="U94:AB96"/>
    <mergeCell ref="AC94:AJ96"/>
    <mergeCell ref="U92:AB93"/>
    <mergeCell ref="AC92:AJ93"/>
    <mergeCell ref="AR129:BB130"/>
    <mergeCell ref="D131:Q132"/>
    <mergeCell ref="R131:BB132"/>
    <mergeCell ref="D135:M138"/>
    <mergeCell ref="N135:Q138"/>
    <mergeCell ref="U135:AB136"/>
    <mergeCell ref="AC135:AJ136"/>
    <mergeCell ref="AM135:BB144"/>
    <mergeCell ref="D141:M144"/>
    <mergeCell ref="N141:Q144"/>
    <mergeCell ref="U137:AB139"/>
    <mergeCell ref="AC137:AJ139"/>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AR177:BB178"/>
    <mergeCell ref="D179:Q180"/>
    <mergeCell ref="R179:BB180"/>
    <mergeCell ref="AQ162:AT165"/>
    <mergeCell ref="AU162:AX165"/>
    <mergeCell ref="D165:M168"/>
    <mergeCell ref="N165:Q168"/>
    <mergeCell ref="AM166:AP168"/>
    <mergeCell ref="AQ166:AT168"/>
    <mergeCell ref="AU166:AX168"/>
    <mergeCell ref="D159:M162"/>
    <mergeCell ref="N159:Q162"/>
    <mergeCell ref="U159:AJ168"/>
    <mergeCell ref="AM159:AP161"/>
    <mergeCell ref="AQ159:AT161"/>
    <mergeCell ref="AU159:AX161"/>
    <mergeCell ref="AM162:AP165"/>
    <mergeCell ref="D171:M174"/>
    <mergeCell ref="N171:Q174"/>
    <mergeCell ref="U171:AJ174"/>
    <mergeCell ref="AM171:BP174"/>
    <mergeCell ref="D195:M198"/>
    <mergeCell ref="N195:Q198"/>
    <mergeCell ref="U195:AJ198"/>
    <mergeCell ref="AM195:BP198"/>
    <mergeCell ref="BI183:BL185"/>
    <mergeCell ref="BM183:BP185"/>
    <mergeCell ref="BE183:BH185"/>
    <mergeCell ref="D189:M192"/>
    <mergeCell ref="N189:Q192"/>
    <mergeCell ref="BE190:BH192"/>
    <mergeCell ref="BI190:BL192"/>
    <mergeCell ref="BM190:BP192"/>
    <mergeCell ref="AM186:AT188"/>
    <mergeCell ref="AU186:BB188"/>
    <mergeCell ref="BE186:BH189"/>
    <mergeCell ref="BI186:BL189"/>
    <mergeCell ref="BM186:BP189"/>
    <mergeCell ref="D183:M186"/>
    <mergeCell ref="N183:Q186"/>
    <mergeCell ref="U183:AJ192"/>
    <mergeCell ref="AM183:AT185"/>
    <mergeCell ref="AU183:BB185"/>
    <mergeCell ref="D266:M269"/>
    <mergeCell ref="N266:Q269"/>
    <mergeCell ref="U266:AJ269"/>
    <mergeCell ref="AM266:BP269"/>
    <mergeCell ref="BE254:BH256"/>
    <mergeCell ref="BI254:BL256"/>
    <mergeCell ref="AY231:BB235"/>
    <mergeCell ref="BE231:BH233"/>
    <mergeCell ref="BI231:BL233"/>
    <mergeCell ref="BM231:BP233"/>
    <mergeCell ref="AM233:AP234"/>
    <mergeCell ref="AQ233:AT234"/>
    <mergeCell ref="BE234:BH237"/>
    <mergeCell ref="BI234:BL237"/>
    <mergeCell ref="BM234:BP237"/>
    <mergeCell ref="AM235:AP236"/>
    <mergeCell ref="N231:Q234"/>
    <mergeCell ref="U231:AJ240"/>
    <mergeCell ref="AM231:AP232"/>
    <mergeCell ref="AQ231:AT232"/>
    <mergeCell ref="AU231:AX235"/>
    <mergeCell ref="AQ235:AT236"/>
    <mergeCell ref="AU236:AX240"/>
    <mergeCell ref="BM254:BP256"/>
    <mergeCell ref="AM256:AT258"/>
    <mergeCell ref="AU256:BB258"/>
    <mergeCell ref="BE257:BH260"/>
    <mergeCell ref="BI257:BL260"/>
    <mergeCell ref="BM257:BP260"/>
    <mergeCell ref="C11:T13"/>
    <mergeCell ref="BE261:BH263"/>
    <mergeCell ref="BI261:BL263"/>
    <mergeCell ref="BM261:BP263"/>
    <mergeCell ref="D219:M222"/>
    <mergeCell ref="N219:Q222"/>
    <mergeCell ref="U219:AJ222"/>
    <mergeCell ref="AM219:BP222"/>
    <mergeCell ref="AR225:BB226"/>
    <mergeCell ref="D227:Q228"/>
    <mergeCell ref="R227:BB228"/>
    <mergeCell ref="D213:M216"/>
    <mergeCell ref="N213:Q216"/>
    <mergeCell ref="AR201:BB202"/>
    <mergeCell ref="D203:Q204"/>
    <mergeCell ref="R203:BB204"/>
    <mergeCell ref="D207:M210"/>
    <mergeCell ref="N207:Q210"/>
    <mergeCell ref="AR249:BB249"/>
    <mergeCell ref="D250:Q251"/>
    <mergeCell ref="R250:BB251"/>
    <mergeCell ref="D254:M257"/>
    <mergeCell ref="N254:Q257"/>
    <mergeCell ref="U254:AJ263"/>
    <mergeCell ref="AM254:AT255"/>
    <mergeCell ref="AU254:BB255"/>
    <mergeCell ref="D260:M263"/>
    <mergeCell ref="N260:Q263"/>
    <mergeCell ref="D117:M120"/>
    <mergeCell ref="N117:Q120"/>
    <mergeCell ref="BE118:BH120"/>
    <mergeCell ref="D243:M246"/>
    <mergeCell ref="N243:Q246"/>
    <mergeCell ref="U243:AJ246"/>
    <mergeCell ref="AM243:BP246"/>
    <mergeCell ref="AY236:BB240"/>
    <mergeCell ref="D237:M240"/>
    <mergeCell ref="N237:Q240"/>
    <mergeCell ref="AM237:AP238"/>
    <mergeCell ref="AQ237:AT238"/>
    <mergeCell ref="BE238:BH240"/>
    <mergeCell ref="BI238:BL240"/>
    <mergeCell ref="AM239:AP240"/>
    <mergeCell ref="AQ239:AT240"/>
    <mergeCell ref="D123:M126"/>
    <mergeCell ref="N123:Q126"/>
    <mergeCell ref="U123:AJ126"/>
    <mergeCell ref="AM123:BP126"/>
    <mergeCell ref="BM238:BP240"/>
    <mergeCell ref="D231:M234"/>
    <mergeCell ref="U207:AJ216"/>
    <mergeCell ref="AN207:BB216"/>
    <mergeCell ref="AM48:AN48"/>
    <mergeCell ref="U111:AJ112"/>
    <mergeCell ref="U116:AJ117"/>
    <mergeCell ref="U118:AJ120"/>
    <mergeCell ref="U113:AJ115"/>
    <mergeCell ref="AR105:BB106"/>
    <mergeCell ref="AM111:BB120"/>
    <mergeCell ref="BE111:BH113"/>
    <mergeCell ref="BE114:BH117"/>
    <mergeCell ref="U89:AB91"/>
    <mergeCell ref="AC89:AJ91"/>
    <mergeCell ref="BE63:BH65"/>
    <mergeCell ref="D83:Q84"/>
    <mergeCell ref="R83:BB84"/>
    <mergeCell ref="D107:Q108"/>
    <mergeCell ref="R107:BB108"/>
    <mergeCell ref="D111:M114"/>
    <mergeCell ref="N111:Q114"/>
    <mergeCell ref="D99:M102"/>
    <mergeCell ref="N99:Q102"/>
    <mergeCell ref="U99:AJ102"/>
    <mergeCell ref="AM99:BP102"/>
  </mergeCells>
  <phoneticPr fontId="2"/>
  <conditionalFormatting sqref="A29:XFD30 A28:BI28 BR28:XFD28">
    <cfRule type="expression" dxfId="9"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B73E0-4AF6-434B-8CFE-7F61C17D0A77}">
  <sheetPr>
    <pageSetUpPr fitToPage="1"/>
  </sheetPr>
  <dimension ref="A1:CE298"/>
  <sheetViews>
    <sheetView showZeros="0" zoomScale="55" zoomScaleNormal="55" workbookViewId="0">
      <selection activeCell="CA248" sqref="CA248"/>
    </sheetView>
  </sheetViews>
  <sheetFormatPr defaultColWidth="2.875" defaultRowHeight="12.6" customHeight="1" x14ac:dyDescent="0.4"/>
  <cols>
    <col min="1" max="70" width="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63" t="s">
        <v>0</v>
      </c>
      <c r="D8" s="264"/>
      <c r="E8" s="264"/>
      <c r="F8" s="264"/>
      <c r="G8" s="264"/>
      <c r="H8" s="264"/>
      <c r="I8" s="264"/>
      <c r="J8" s="264"/>
      <c r="K8" s="264"/>
      <c r="L8" s="264"/>
      <c r="M8" s="264"/>
      <c r="N8" s="264"/>
      <c r="O8" s="264"/>
      <c r="P8" s="264"/>
      <c r="Q8" s="264"/>
      <c r="R8" s="264"/>
      <c r="S8" s="264"/>
      <c r="T8" s="264"/>
      <c r="U8" s="265" t="s">
        <v>1</v>
      </c>
      <c r="V8" s="266"/>
      <c r="W8" s="266"/>
      <c r="X8" s="266"/>
      <c r="Y8" s="266"/>
      <c r="Z8" s="266"/>
      <c r="AA8" s="266"/>
      <c r="AB8" s="266"/>
      <c r="AC8" s="266"/>
      <c r="AD8" s="266"/>
      <c r="AE8" s="266"/>
      <c r="AF8" s="266"/>
      <c r="AG8" s="266"/>
      <c r="AH8" s="266"/>
      <c r="AI8" s="266"/>
      <c r="AJ8" s="266"/>
      <c r="AK8" s="266"/>
      <c r="AL8" s="266"/>
      <c r="AM8" s="266"/>
      <c r="AN8" s="267"/>
      <c r="AO8" s="268" t="s">
        <v>2</v>
      </c>
      <c r="AP8" s="266"/>
      <c r="AQ8" s="266"/>
      <c r="AR8" s="266"/>
      <c r="AS8" s="266"/>
      <c r="AT8" s="266"/>
      <c r="AU8" s="266"/>
      <c r="AV8" s="266"/>
      <c r="AW8" s="266"/>
      <c r="AX8" s="266"/>
      <c r="AY8" s="266"/>
      <c r="AZ8" s="266"/>
      <c r="BA8" s="266"/>
      <c r="BB8" s="266"/>
      <c r="BC8" s="266"/>
      <c r="BD8" s="266"/>
      <c r="BE8" s="267"/>
      <c r="BF8" s="263" t="s">
        <v>3</v>
      </c>
      <c r="BG8" s="269"/>
      <c r="BH8" s="269"/>
      <c r="BI8" s="269"/>
      <c r="BJ8" s="269"/>
      <c r="BK8" s="269"/>
      <c r="BL8" s="269"/>
      <c r="BM8" s="269"/>
      <c r="BN8" s="269"/>
      <c r="BO8" s="269"/>
      <c r="BP8" s="269"/>
      <c r="BQ8" s="8"/>
    </row>
    <row r="9" spans="3:70" ht="15.6" customHeight="1" x14ac:dyDescent="0.4">
      <c r="C9" s="264"/>
      <c r="D9" s="264"/>
      <c r="E9" s="264"/>
      <c r="F9" s="264"/>
      <c r="G9" s="264"/>
      <c r="H9" s="264"/>
      <c r="I9" s="264"/>
      <c r="J9" s="264"/>
      <c r="K9" s="264"/>
      <c r="L9" s="264"/>
      <c r="M9" s="264"/>
      <c r="N9" s="264"/>
      <c r="O9" s="264"/>
      <c r="P9" s="264"/>
      <c r="Q9" s="264"/>
      <c r="R9" s="264"/>
      <c r="S9" s="264"/>
      <c r="T9" s="264"/>
      <c r="U9" s="219"/>
      <c r="V9" s="217"/>
      <c r="W9" s="217"/>
      <c r="X9" s="217"/>
      <c r="Y9" s="217"/>
      <c r="Z9" s="217"/>
      <c r="AA9" s="217"/>
      <c r="AB9" s="217"/>
      <c r="AC9" s="217"/>
      <c r="AD9" s="217"/>
      <c r="AE9" s="217"/>
      <c r="AF9" s="217"/>
      <c r="AG9" s="217"/>
      <c r="AH9" s="217"/>
      <c r="AI9" s="217"/>
      <c r="AJ9" s="217"/>
      <c r="AK9" s="217"/>
      <c r="AL9" s="217"/>
      <c r="AM9" s="217"/>
      <c r="AN9" s="218"/>
      <c r="AO9" s="219"/>
      <c r="AP9" s="217"/>
      <c r="AQ9" s="217"/>
      <c r="AR9" s="217"/>
      <c r="AS9" s="217"/>
      <c r="AT9" s="217"/>
      <c r="AU9" s="217"/>
      <c r="AV9" s="217"/>
      <c r="AW9" s="217"/>
      <c r="AX9" s="217"/>
      <c r="AY9" s="217"/>
      <c r="AZ9" s="217"/>
      <c r="BA9" s="217"/>
      <c r="BB9" s="217"/>
      <c r="BC9" s="217"/>
      <c r="BD9" s="217"/>
      <c r="BE9" s="218"/>
      <c r="BF9" s="269"/>
      <c r="BG9" s="269"/>
      <c r="BH9" s="269"/>
      <c r="BI9" s="269"/>
      <c r="BJ9" s="269"/>
      <c r="BK9" s="269"/>
      <c r="BL9" s="269"/>
      <c r="BM9" s="269"/>
      <c r="BN9" s="269"/>
      <c r="BO9" s="269"/>
      <c r="BP9" s="269"/>
      <c r="BQ9" s="8"/>
    </row>
    <row r="10" spans="3:70" ht="15.6" customHeight="1" x14ac:dyDescent="0.4">
      <c r="C10" s="264"/>
      <c r="D10" s="264"/>
      <c r="E10" s="264"/>
      <c r="F10" s="264"/>
      <c r="G10" s="264"/>
      <c r="H10" s="264"/>
      <c r="I10" s="264"/>
      <c r="J10" s="264"/>
      <c r="K10" s="264"/>
      <c r="L10" s="264"/>
      <c r="M10" s="264"/>
      <c r="N10" s="264"/>
      <c r="O10" s="264"/>
      <c r="P10" s="264"/>
      <c r="Q10" s="264"/>
      <c r="R10" s="264"/>
      <c r="S10" s="264"/>
      <c r="T10" s="264"/>
      <c r="U10" s="220"/>
      <c r="V10" s="221"/>
      <c r="W10" s="221"/>
      <c r="X10" s="221"/>
      <c r="Y10" s="221"/>
      <c r="Z10" s="221"/>
      <c r="AA10" s="221"/>
      <c r="AB10" s="221"/>
      <c r="AC10" s="221"/>
      <c r="AD10" s="221"/>
      <c r="AE10" s="221"/>
      <c r="AF10" s="221"/>
      <c r="AG10" s="221"/>
      <c r="AH10" s="221"/>
      <c r="AI10" s="221"/>
      <c r="AJ10" s="221"/>
      <c r="AK10" s="221"/>
      <c r="AL10" s="221"/>
      <c r="AM10" s="221"/>
      <c r="AN10" s="222"/>
      <c r="AO10" s="220"/>
      <c r="AP10" s="221"/>
      <c r="AQ10" s="221"/>
      <c r="AR10" s="221"/>
      <c r="AS10" s="221"/>
      <c r="AT10" s="221"/>
      <c r="AU10" s="221"/>
      <c r="AV10" s="221"/>
      <c r="AW10" s="221"/>
      <c r="AX10" s="221"/>
      <c r="AY10" s="221"/>
      <c r="AZ10" s="221"/>
      <c r="BA10" s="221"/>
      <c r="BB10" s="221"/>
      <c r="BC10" s="221"/>
      <c r="BD10" s="221"/>
      <c r="BE10" s="222"/>
      <c r="BF10" s="269"/>
      <c r="BG10" s="269"/>
      <c r="BH10" s="269"/>
      <c r="BI10" s="269"/>
      <c r="BJ10" s="269"/>
      <c r="BK10" s="269"/>
      <c r="BL10" s="269"/>
      <c r="BM10" s="269"/>
      <c r="BN10" s="269"/>
      <c r="BO10" s="269"/>
      <c r="BP10" s="269"/>
      <c r="BQ10" s="8"/>
    </row>
    <row r="11" spans="3:70" ht="15.6" customHeight="1" x14ac:dyDescent="0.4">
      <c r="C11" s="270" t="str">
        <f>IF(COUNTIF([2]回答表!K15,"*")&gt;0,[2]回答表!K15,"")</f>
        <v>大館市</v>
      </c>
      <c r="D11" s="264"/>
      <c r="E11" s="264"/>
      <c r="F11" s="264"/>
      <c r="G11" s="264"/>
      <c r="H11" s="264"/>
      <c r="I11" s="264"/>
      <c r="J11" s="264"/>
      <c r="K11" s="264"/>
      <c r="L11" s="264"/>
      <c r="M11" s="264"/>
      <c r="N11" s="264"/>
      <c r="O11" s="264"/>
      <c r="P11" s="264"/>
      <c r="Q11" s="264"/>
      <c r="R11" s="264"/>
      <c r="S11" s="264"/>
      <c r="T11" s="264"/>
      <c r="U11" s="271" t="str">
        <f>IF(COUNTIF([2]回答表!F17,"*")&gt;0,[2]回答表!F17,"")</f>
        <v>下水道事業</v>
      </c>
      <c r="V11" s="272"/>
      <c r="W11" s="272"/>
      <c r="X11" s="272"/>
      <c r="Y11" s="272"/>
      <c r="Z11" s="272"/>
      <c r="AA11" s="272"/>
      <c r="AB11" s="272"/>
      <c r="AC11" s="272"/>
      <c r="AD11" s="272"/>
      <c r="AE11" s="272"/>
      <c r="AF11" s="266"/>
      <c r="AG11" s="266"/>
      <c r="AH11" s="266"/>
      <c r="AI11" s="266"/>
      <c r="AJ11" s="266"/>
      <c r="AK11" s="266"/>
      <c r="AL11" s="266"/>
      <c r="AM11" s="266"/>
      <c r="AN11" s="267"/>
      <c r="AO11" s="277" t="str">
        <f>IF(COUNTIF([2]回答表!W17,"*")&gt;0,[2]回答表!W17,"")</f>
        <v>特定環境保全公共下水道</v>
      </c>
      <c r="AP11" s="266"/>
      <c r="AQ11" s="266"/>
      <c r="AR11" s="266"/>
      <c r="AS11" s="266"/>
      <c r="AT11" s="266"/>
      <c r="AU11" s="266"/>
      <c r="AV11" s="266"/>
      <c r="AW11" s="266"/>
      <c r="AX11" s="266"/>
      <c r="AY11" s="266"/>
      <c r="AZ11" s="266"/>
      <c r="BA11" s="266"/>
      <c r="BB11" s="266"/>
      <c r="BC11" s="266"/>
      <c r="BD11" s="266"/>
      <c r="BE11" s="267"/>
      <c r="BF11" s="270" t="str">
        <f>IF(COUNTIF([2]回答表!F19,"*")&gt;0,[2]回答表!F19,"")</f>
        <v>ー</v>
      </c>
      <c r="BG11" s="269"/>
      <c r="BH11" s="269"/>
      <c r="BI11" s="269"/>
      <c r="BJ11" s="269"/>
      <c r="BK11" s="269"/>
      <c r="BL11" s="269"/>
      <c r="BM11" s="269"/>
      <c r="BN11" s="269"/>
      <c r="BO11" s="269"/>
      <c r="BP11" s="269"/>
      <c r="BQ11" s="6"/>
    </row>
    <row r="12" spans="3:70" ht="15.6" customHeight="1" x14ac:dyDescent="0.4">
      <c r="C12" s="264"/>
      <c r="D12" s="264"/>
      <c r="E12" s="264"/>
      <c r="F12" s="264"/>
      <c r="G12" s="264"/>
      <c r="H12" s="264"/>
      <c r="I12" s="264"/>
      <c r="J12" s="264"/>
      <c r="K12" s="264"/>
      <c r="L12" s="264"/>
      <c r="M12" s="264"/>
      <c r="N12" s="264"/>
      <c r="O12" s="264"/>
      <c r="P12" s="264"/>
      <c r="Q12" s="264"/>
      <c r="R12" s="264"/>
      <c r="S12" s="264"/>
      <c r="T12" s="264"/>
      <c r="U12" s="273"/>
      <c r="V12" s="274"/>
      <c r="W12" s="274"/>
      <c r="X12" s="274"/>
      <c r="Y12" s="274"/>
      <c r="Z12" s="274"/>
      <c r="AA12" s="274"/>
      <c r="AB12" s="274"/>
      <c r="AC12" s="274"/>
      <c r="AD12" s="274"/>
      <c r="AE12" s="274"/>
      <c r="AF12" s="217"/>
      <c r="AG12" s="217"/>
      <c r="AH12" s="217"/>
      <c r="AI12" s="217"/>
      <c r="AJ12" s="217"/>
      <c r="AK12" s="217"/>
      <c r="AL12" s="217"/>
      <c r="AM12" s="217"/>
      <c r="AN12" s="218"/>
      <c r="AO12" s="219"/>
      <c r="AP12" s="217"/>
      <c r="AQ12" s="217"/>
      <c r="AR12" s="217"/>
      <c r="AS12" s="217"/>
      <c r="AT12" s="217"/>
      <c r="AU12" s="217"/>
      <c r="AV12" s="217"/>
      <c r="AW12" s="217"/>
      <c r="AX12" s="217"/>
      <c r="AY12" s="217"/>
      <c r="AZ12" s="217"/>
      <c r="BA12" s="217"/>
      <c r="BB12" s="217"/>
      <c r="BC12" s="217"/>
      <c r="BD12" s="217"/>
      <c r="BE12" s="218"/>
      <c r="BF12" s="269"/>
      <c r="BG12" s="269"/>
      <c r="BH12" s="269"/>
      <c r="BI12" s="269"/>
      <c r="BJ12" s="269"/>
      <c r="BK12" s="269"/>
      <c r="BL12" s="269"/>
      <c r="BM12" s="269"/>
      <c r="BN12" s="269"/>
      <c r="BO12" s="269"/>
      <c r="BP12" s="269"/>
      <c r="BQ12" s="6"/>
    </row>
    <row r="13" spans="3:70" ht="15.6" customHeight="1" x14ac:dyDescent="0.4">
      <c r="C13" s="264"/>
      <c r="D13" s="264"/>
      <c r="E13" s="264"/>
      <c r="F13" s="264"/>
      <c r="G13" s="264"/>
      <c r="H13" s="264"/>
      <c r="I13" s="264"/>
      <c r="J13" s="264"/>
      <c r="K13" s="264"/>
      <c r="L13" s="264"/>
      <c r="M13" s="264"/>
      <c r="N13" s="264"/>
      <c r="O13" s="264"/>
      <c r="P13" s="264"/>
      <c r="Q13" s="264"/>
      <c r="R13" s="264"/>
      <c r="S13" s="264"/>
      <c r="T13" s="264"/>
      <c r="U13" s="275"/>
      <c r="V13" s="276"/>
      <c r="W13" s="276"/>
      <c r="X13" s="276"/>
      <c r="Y13" s="276"/>
      <c r="Z13" s="276"/>
      <c r="AA13" s="276"/>
      <c r="AB13" s="276"/>
      <c r="AC13" s="276"/>
      <c r="AD13" s="276"/>
      <c r="AE13" s="276"/>
      <c r="AF13" s="221"/>
      <c r="AG13" s="221"/>
      <c r="AH13" s="221"/>
      <c r="AI13" s="221"/>
      <c r="AJ13" s="221"/>
      <c r="AK13" s="221"/>
      <c r="AL13" s="221"/>
      <c r="AM13" s="221"/>
      <c r="AN13" s="222"/>
      <c r="AO13" s="220"/>
      <c r="AP13" s="221"/>
      <c r="AQ13" s="221"/>
      <c r="AR13" s="221"/>
      <c r="AS13" s="221"/>
      <c r="AT13" s="221"/>
      <c r="AU13" s="221"/>
      <c r="AV13" s="221"/>
      <c r="AW13" s="221"/>
      <c r="AX13" s="221"/>
      <c r="AY13" s="221"/>
      <c r="AZ13" s="221"/>
      <c r="BA13" s="221"/>
      <c r="BB13" s="221"/>
      <c r="BC13" s="221"/>
      <c r="BD13" s="221"/>
      <c r="BE13" s="222"/>
      <c r="BF13" s="269"/>
      <c r="BG13" s="269"/>
      <c r="BH13" s="269"/>
      <c r="BI13" s="269"/>
      <c r="BJ13" s="269"/>
      <c r="BK13" s="269"/>
      <c r="BL13" s="269"/>
      <c r="BM13" s="269"/>
      <c r="BN13" s="269"/>
      <c r="BO13" s="269"/>
      <c r="BP13" s="269"/>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30" t="s">
        <v>4</v>
      </c>
      <c r="E18" s="231"/>
      <c r="F18" s="231"/>
      <c r="G18" s="231"/>
      <c r="H18" s="231"/>
      <c r="I18" s="231"/>
      <c r="J18" s="231"/>
      <c r="K18" s="231"/>
      <c r="L18" s="231"/>
      <c r="M18" s="231"/>
      <c r="N18" s="231"/>
      <c r="O18" s="231"/>
      <c r="P18" s="231"/>
      <c r="Q18" s="231"/>
      <c r="R18" s="231"/>
      <c r="S18" s="231"/>
      <c r="T18" s="231"/>
      <c r="U18" s="231"/>
      <c r="V18" s="231"/>
      <c r="W18" s="231"/>
      <c r="X18" s="231"/>
      <c r="Y18" s="231"/>
      <c r="Z18" s="231"/>
      <c r="AA18" s="231"/>
      <c r="AB18" s="231"/>
      <c r="AC18" s="231"/>
      <c r="AD18" s="231"/>
      <c r="AE18" s="231"/>
      <c r="AF18" s="231"/>
      <c r="AG18" s="231"/>
      <c r="AH18" s="231"/>
      <c r="AI18" s="231"/>
      <c r="AJ18" s="231"/>
      <c r="AK18" s="231"/>
      <c r="AL18" s="231"/>
      <c r="AM18" s="231"/>
      <c r="AN18" s="231"/>
      <c r="AO18" s="231"/>
      <c r="AP18" s="231"/>
      <c r="AQ18" s="231"/>
      <c r="AR18" s="231"/>
      <c r="AS18" s="231"/>
      <c r="AT18" s="231"/>
      <c r="AU18" s="231"/>
      <c r="AV18" s="231"/>
      <c r="AW18" s="231"/>
      <c r="AX18" s="231"/>
      <c r="AY18" s="231"/>
      <c r="AZ18" s="232"/>
      <c r="BA18" s="15"/>
      <c r="BB18" s="15"/>
      <c r="BC18" s="15"/>
      <c r="BD18" s="15"/>
      <c r="BE18" s="15"/>
      <c r="BF18" s="15"/>
      <c r="BG18" s="15"/>
      <c r="BH18" s="15"/>
      <c r="BI18" s="15"/>
      <c r="BJ18" s="15"/>
      <c r="BK18" s="16"/>
      <c r="BR18" s="13"/>
    </row>
    <row r="19" spans="3:83" ht="15.6" customHeight="1" x14ac:dyDescent="0.4">
      <c r="C19" s="14"/>
      <c r="D19" s="233"/>
      <c r="E19" s="234"/>
      <c r="F19" s="234"/>
      <c r="G19" s="234"/>
      <c r="H19" s="234"/>
      <c r="I19" s="234"/>
      <c r="J19" s="234"/>
      <c r="K19" s="234"/>
      <c r="L19" s="234"/>
      <c r="M19" s="234"/>
      <c r="N19" s="234"/>
      <c r="O19" s="234"/>
      <c r="P19" s="234"/>
      <c r="Q19" s="234"/>
      <c r="R19" s="234"/>
      <c r="S19" s="234"/>
      <c r="T19" s="234"/>
      <c r="U19" s="234"/>
      <c r="V19" s="234"/>
      <c r="W19" s="234"/>
      <c r="X19" s="234"/>
      <c r="Y19" s="234"/>
      <c r="Z19" s="234"/>
      <c r="AA19" s="234"/>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5"/>
      <c r="BA19" s="15"/>
      <c r="BB19" s="15"/>
      <c r="BC19" s="15"/>
      <c r="BD19" s="15"/>
      <c r="BE19" s="15"/>
      <c r="BF19" s="15"/>
      <c r="BG19" s="15"/>
      <c r="BH19" s="15"/>
      <c r="BI19" s="15"/>
      <c r="BJ19" s="15"/>
      <c r="BK19" s="16"/>
      <c r="BR19" s="13"/>
    </row>
    <row r="20" spans="3:83" ht="13.35" customHeight="1" x14ac:dyDescent="0.4">
      <c r="C20" s="14"/>
      <c r="D20" s="236" t="s">
        <v>5</v>
      </c>
      <c r="E20" s="237"/>
      <c r="F20" s="237"/>
      <c r="G20" s="237"/>
      <c r="H20" s="237"/>
      <c r="I20" s="237"/>
      <c r="J20" s="238"/>
      <c r="K20" s="236" t="s">
        <v>6</v>
      </c>
      <c r="L20" s="237"/>
      <c r="M20" s="237"/>
      <c r="N20" s="237"/>
      <c r="O20" s="237"/>
      <c r="P20" s="237"/>
      <c r="Q20" s="238"/>
      <c r="R20" s="236" t="s">
        <v>7</v>
      </c>
      <c r="S20" s="237"/>
      <c r="T20" s="237"/>
      <c r="U20" s="237"/>
      <c r="V20" s="237"/>
      <c r="W20" s="237"/>
      <c r="X20" s="238"/>
      <c r="Y20" s="245" t="s">
        <v>8</v>
      </c>
      <c r="Z20" s="246"/>
      <c r="AA20" s="246"/>
      <c r="AB20" s="246"/>
      <c r="AC20" s="246"/>
      <c r="AD20" s="246"/>
      <c r="AE20" s="246"/>
      <c r="AF20" s="246"/>
      <c r="AG20" s="246"/>
      <c r="AH20" s="246"/>
      <c r="AI20" s="246"/>
      <c r="AJ20" s="246"/>
      <c r="AK20" s="246"/>
      <c r="AL20" s="246"/>
      <c r="AM20" s="246"/>
      <c r="AN20" s="246"/>
      <c r="AO20" s="246"/>
      <c r="AP20" s="246"/>
      <c r="AQ20" s="246"/>
      <c r="AR20" s="246"/>
      <c r="AS20" s="246"/>
      <c r="AT20" s="246"/>
      <c r="AU20" s="246"/>
      <c r="AV20" s="246"/>
      <c r="AW20" s="246"/>
      <c r="AX20" s="246"/>
      <c r="AY20" s="246"/>
      <c r="AZ20" s="247"/>
      <c r="BA20" s="17"/>
      <c r="BB20" s="254" t="s">
        <v>9</v>
      </c>
      <c r="BC20" s="255"/>
      <c r="BD20" s="255"/>
      <c r="BE20" s="255"/>
      <c r="BF20" s="255"/>
      <c r="BG20" s="255"/>
      <c r="BH20" s="255"/>
      <c r="BI20" s="223"/>
      <c r="BJ20" s="224"/>
      <c r="BK20" s="16"/>
      <c r="BR20" s="18"/>
    </row>
    <row r="21" spans="3:83" ht="13.35" customHeight="1" x14ac:dyDescent="0.4">
      <c r="C21" s="14"/>
      <c r="D21" s="239"/>
      <c r="E21" s="240"/>
      <c r="F21" s="240"/>
      <c r="G21" s="240"/>
      <c r="H21" s="240"/>
      <c r="I21" s="240"/>
      <c r="J21" s="241"/>
      <c r="K21" s="239"/>
      <c r="L21" s="240"/>
      <c r="M21" s="240"/>
      <c r="N21" s="240"/>
      <c r="O21" s="240"/>
      <c r="P21" s="240"/>
      <c r="Q21" s="241"/>
      <c r="R21" s="239"/>
      <c r="S21" s="240"/>
      <c r="T21" s="240"/>
      <c r="U21" s="240"/>
      <c r="V21" s="240"/>
      <c r="W21" s="240"/>
      <c r="X21" s="241"/>
      <c r="Y21" s="248"/>
      <c r="Z21" s="249"/>
      <c r="AA21" s="249"/>
      <c r="AB21" s="249"/>
      <c r="AC21" s="249"/>
      <c r="AD21" s="249"/>
      <c r="AE21" s="249"/>
      <c r="AF21" s="249"/>
      <c r="AG21" s="249"/>
      <c r="AH21" s="249"/>
      <c r="AI21" s="249"/>
      <c r="AJ21" s="249"/>
      <c r="AK21" s="249"/>
      <c r="AL21" s="249"/>
      <c r="AM21" s="249"/>
      <c r="AN21" s="249"/>
      <c r="AO21" s="249"/>
      <c r="AP21" s="249"/>
      <c r="AQ21" s="249"/>
      <c r="AR21" s="249"/>
      <c r="AS21" s="249"/>
      <c r="AT21" s="249"/>
      <c r="AU21" s="249"/>
      <c r="AV21" s="249"/>
      <c r="AW21" s="249"/>
      <c r="AX21" s="249"/>
      <c r="AY21" s="249"/>
      <c r="AZ21" s="250"/>
      <c r="BA21" s="17"/>
      <c r="BB21" s="256"/>
      <c r="BC21" s="257"/>
      <c r="BD21" s="257"/>
      <c r="BE21" s="257"/>
      <c r="BF21" s="257"/>
      <c r="BG21" s="257"/>
      <c r="BH21" s="257"/>
      <c r="BI21" s="225"/>
      <c r="BJ21" s="226"/>
      <c r="BK21" s="16"/>
      <c r="BR21" s="18"/>
    </row>
    <row r="22" spans="3:83" ht="13.35" customHeight="1" x14ac:dyDescent="0.4">
      <c r="C22" s="14"/>
      <c r="D22" s="239"/>
      <c r="E22" s="240"/>
      <c r="F22" s="240"/>
      <c r="G22" s="240"/>
      <c r="H22" s="240"/>
      <c r="I22" s="240"/>
      <c r="J22" s="241"/>
      <c r="K22" s="239"/>
      <c r="L22" s="240"/>
      <c r="M22" s="240"/>
      <c r="N22" s="240"/>
      <c r="O22" s="240"/>
      <c r="P22" s="240"/>
      <c r="Q22" s="241"/>
      <c r="R22" s="239"/>
      <c r="S22" s="240"/>
      <c r="T22" s="240"/>
      <c r="U22" s="240"/>
      <c r="V22" s="240"/>
      <c r="W22" s="240"/>
      <c r="X22" s="241"/>
      <c r="Y22" s="251"/>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3"/>
      <c r="BA22" s="19"/>
      <c r="BB22" s="256"/>
      <c r="BC22" s="257"/>
      <c r="BD22" s="257"/>
      <c r="BE22" s="257"/>
      <c r="BF22" s="257"/>
      <c r="BG22" s="257"/>
      <c r="BH22" s="257"/>
      <c r="BI22" s="225"/>
      <c r="BJ22" s="226"/>
      <c r="BK22" s="16"/>
      <c r="BR22" s="18"/>
    </row>
    <row r="23" spans="3:83" ht="31.35" customHeight="1" x14ac:dyDescent="0.4">
      <c r="C23" s="14"/>
      <c r="D23" s="242"/>
      <c r="E23" s="243"/>
      <c r="F23" s="243"/>
      <c r="G23" s="243"/>
      <c r="H23" s="243"/>
      <c r="I23" s="243"/>
      <c r="J23" s="244"/>
      <c r="K23" s="242"/>
      <c r="L23" s="243"/>
      <c r="M23" s="243"/>
      <c r="N23" s="243"/>
      <c r="O23" s="243"/>
      <c r="P23" s="243"/>
      <c r="Q23" s="244"/>
      <c r="R23" s="242"/>
      <c r="S23" s="243"/>
      <c r="T23" s="243"/>
      <c r="U23" s="243"/>
      <c r="V23" s="243"/>
      <c r="W23" s="243"/>
      <c r="X23" s="244"/>
      <c r="Y23" s="260" t="s">
        <v>10</v>
      </c>
      <c r="Z23" s="261"/>
      <c r="AA23" s="261"/>
      <c r="AB23" s="261"/>
      <c r="AC23" s="261"/>
      <c r="AD23" s="261"/>
      <c r="AE23" s="262"/>
      <c r="AF23" s="260" t="s">
        <v>11</v>
      </c>
      <c r="AG23" s="261"/>
      <c r="AH23" s="261"/>
      <c r="AI23" s="261"/>
      <c r="AJ23" s="261"/>
      <c r="AK23" s="261"/>
      <c r="AL23" s="262"/>
      <c r="AM23" s="260" t="s">
        <v>12</v>
      </c>
      <c r="AN23" s="261"/>
      <c r="AO23" s="261"/>
      <c r="AP23" s="261"/>
      <c r="AQ23" s="261"/>
      <c r="AR23" s="261"/>
      <c r="AS23" s="262"/>
      <c r="AT23" s="260" t="s">
        <v>13</v>
      </c>
      <c r="AU23" s="261"/>
      <c r="AV23" s="261"/>
      <c r="AW23" s="261"/>
      <c r="AX23" s="261"/>
      <c r="AY23" s="261"/>
      <c r="AZ23" s="262"/>
      <c r="BA23" s="19"/>
      <c r="BB23" s="258"/>
      <c r="BC23" s="259"/>
      <c r="BD23" s="259"/>
      <c r="BE23" s="259"/>
      <c r="BF23" s="259"/>
      <c r="BG23" s="259"/>
      <c r="BH23" s="259"/>
      <c r="BI23" s="227"/>
      <c r="BJ23" s="228"/>
      <c r="BK23" s="16"/>
      <c r="BR23" s="18"/>
    </row>
    <row r="24" spans="3:83" ht="15.6" customHeight="1" x14ac:dyDescent="0.4">
      <c r="C24" s="14"/>
      <c r="D24" s="121" t="str">
        <f>IF([2]回答表!R41="○","○","")</f>
        <v/>
      </c>
      <c r="E24" s="122"/>
      <c r="F24" s="122"/>
      <c r="G24" s="122"/>
      <c r="H24" s="122"/>
      <c r="I24" s="122"/>
      <c r="J24" s="123"/>
      <c r="K24" s="121" t="str">
        <f>IF([2]回答表!R42="○","○","")</f>
        <v/>
      </c>
      <c r="L24" s="122"/>
      <c r="M24" s="122"/>
      <c r="N24" s="122"/>
      <c r="O24" s="122"/>
      <c r="P24" s="122"/>
      <c r="Q24" s="123"/>
      <c r="R24" s="121" t="str">
        <f>IF([2]回答表!R43="○","○","")</f>
        <v>○</v>
      </c>
      <c r="S24" s="122"/>
      <c r="T24" s="122"/>
      <c r="U24" s="122"/>
      <c r="V24" s="122"/>
      <c r="W24" s="122"/>
      <c r="X24" s="123"/>
      <c r="Y24" s="121" t="str">
        <f>IF([2]回答表!R44="○","○","")</f>
        <v/>
      </c>
      <c r="Z24" s="122"/>
      <c r="AA24" s="122"/>
      <c r="AB24" s="122"/>
      <c r="AC24" s="122"/>
      <c r="AD24" s="122"/>
      <c r="AE24" s="123"/>
      <c r="AF24" s="121" t="str">
        <f>IF([2]回答表!R45="○","○","")</f>
        <v/>
      </c>
      <c r="AG24" s="122"/>
      <c r="AH24" s="122"/>
      <c r="AI24" s="122"/>
      <c r="AJ24" s="122"/>
      <c r="AK24" s="122"/>
      <c r="AL24" s="123"/>
      <c r="AM24" s="121" t="str">
        <f>IF([2]回答表!R46="○","○","")</f>
        <v>○</v>
      </c>
      <c r="AN24" s="122"/>
      <c r="AO24" s="122"/>
      <c r="AP24" s="122"/>
      <c r="AQ24" s="122"/>
      <c r="AR24" s="122"/>
      <c r="AS24" s="123"/>
      <c r="AT24" s="121" t="str">
        <f>IF([2]回答表!R47="○","○","")</f>
        <v/>
      </c>
      <c r="AU24" s="122"/>
      <c r="AV24" s="122"/>
      <c r="AW24" s="122"/>
      <c r="AX24" s="122"/>
      <c r="AY24" s="122"/>
      <c r="AZ24" s="123"/>
      <c r="BA24" s="19"/>
      <c r="BB24" s="118" t="str">
        <f>IF([2]回答表!R48="○","○","")</f>
        <v/>
      </c>
      <c r="BC24" s="119"/>
      <c r="BD24" s="119"/>
      <c r="BE24" s="119"/>
      <c r="BF24" s="119"/>
      <c r="BG24" s="119"/>
      <c r="BH24" s="119"/>
      <c r="BI24" s="223"/>
      <c r="BJ24" s="224"/>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25"/>
      <c r="BJ25" s="226"/>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27"/>
      <c r="BJ26" s="228"/>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IF([2]回答表!X41="○","○","")</f>
        <v/>
      </c>
      <c r="O36" s="98"/>
      <c r="P36" s="98"/>
      <c r="Q36" s="99"/>
      <c r="R36" s="39"/>
      <c r="S36" s="39"/>
      <c r="T36" s="39"/>
      <c r="U36" s="106" t="str">
        <f>IF([2]回答表!X41="○",[2]回答表!B56,IF([2]回答表!AA41="○",[2]回答表!B76,""))</f>
        <v/>
      </c>
      <c r="V36" s="107"/>
      <c r="W36" s="107"/>
      <c r="X36" s="107"/>
      <c r="Y36" s="107"/>
      <c r="Z36" s="107"/>
      <c r="AA36" s="107"/>
      <c r="AB36" s="107"/>
      <c r="AC36" s="107"/>
      <c r="AD36" s="107"/>
      <c r="AE36" s="107"/>
      <c r="AF36" s="107"/>
      <c r="AG36" s="107"/>
      <c r="AH36" s="107"/>
      <c r="AI36" s="107"/>
      <c r="AJ36" s="108"/>
      <c r="AK36" s="50"/>
      <c r="AL36" s="50"/>
      <c r="AM36" s="229" t="s">
        <v>19</v>
      </c>
      <c r="AN36" s="229"/>
      <c r="AO36" s="229"/>
      <c r="AP36" s="229"/>
      <c r="AQ36" s="229"/>
      <c r="AR36" s="229"/>
      <c r="AS36" s="229"/>
      <c r="AT36" s="229"/>
      <c r="AU36" s="229" t="s">
        <v>20</v>
      </c>
      <c r="AV36" s="229"/>
      <c r="AW36" s="229"/>
      <c r="AX36" s="229"/>
      <c r="AY36" s="229"/>
      <c r="AZ36" s="229"/>
      <c r="BA36" s="229"/>
      <c r="BB36" s="229"/>
      <c r="BC36" s="40"/>
      <c r="BD36" s="35"/>
      <c r="BE36" s="115" t="str">
        <f>IF([2]回答表!X41="○",[2]回答表!S62,IF([2]回答表!AA41="○",[2]回答表!S82,""))</f>
        <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29"/>
      <c r="AN37" s="229"/>
      <c r="AO37" s="229"/>
      <c r="AP37" s="229"/>
      <c r="AQ37" s="229"/>
      <c r="AR37" s="229"/>
      <c r="AS37" s="229"/>
      <c r="AT37" s="229"/>
      <c r="AU37" s="229"/>
      <c r="AV37" s="229"/>
      <c r="AW37" s="229"/>
      <c r="AX37" s="229"/>
      <c r="AY37" s="229"/>
      <c r="AZ37" s="229"/>
      <c r="BA37" s="229"/>
      <c r="BB37" s="229"/>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IF([2]回答表!X41="○",[2]回答表!G62,IF([2]回答表!AA41="○",[2]回答表!G82,""))</f>
        <v/>
      </c>
      <c r="AN38" s="119"/>
      <c r="AO38" s="119"/>
      <c r="AP38" s="119"/>
      <c r="AQ38" s="119"/>
      <c r="AR38" s="119"/>
      <c r="AS38" s="119"/>
      <c r="AT38" s="120"/>
      <c r="AU38" s="118" t="str">
        <f>IF([2]回答表!X41="○",[2]回答表!G63,IF([2]回答表!AA41="○",[2]回答表!G83,""))</f>
        <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t="str">
        <f>IF([2]回答表!X41="○",[2]回答表!V62,IF([2]回答表!AA41="○",[2]回答表!V82,""))</f>
        <v/>
      </c>
      <c r="BF39" s="217"/>
      <c r="BG39" s="217"/>
      <c r="BH39" s="218"/>
      <c r="BI39" s="82" t="str">
        <f>IF([2]回答表!X41="○",[2]回答表!V63,IF([2]回答表!AA41="○",[2]回答表!V83,""))</f>
        <v/>
      </c>
      <c r="BJ39" s="217"/>
      <c r="BK39" s="217"/>
      <c r="BL39" s="218"/>
      <c r="BM39" s="82" t="str">
        <f>IF([2]回答表!X41="○",[2]回答表!V64,IF([2]回答表!AA41="○",[2]回答表!V84,""))</f>
        <v/>
      </c>
      <c r="BN39" s="217"/>
      <c r="BO39" s="217"/>
      <c r="BP39" s="218"/>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19"/>
      <c r="BF40" s="217"/>
      <c r="BG40" s="217"/>
      <c r="BH40" s="218"/>
      <c r="BI40" s="219"/>
      <c r="BJ40" s="217"/>
      <c r="BK40" s="217"/>
      <c r="BL40" s="218"/>
      <c r="BM40" s="219"/>
      <c r="BN40" s="217"/>
      <c r="BO40" s="217"/>
      <c r="BP40" s="218"/>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19"/>
      <c r="BF41" s="217"/>
      <c r="BG41" s="217"/>
      <c r="BH41" s="218"/>
      <c r="BI41" s="219"/>
      <c r="BJ41" s="217"/>
      <c r="BK41" s="217"/>
      <c r="BL41" s="218"/>
      <c r="BM41" s="219"/>
      <c r="BN41" s="217"/>
      <c r="BO41" s="217"/>
      <c r="BP41" s="218"/>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215" t="str">
        <f>IF([2]回答表!X41="○",[2]回答表!O68,IF([2]回答表!AA41="○",[2]回答表!O88,""))</f>
        <v/>
      </c>
      <c r="AN42" s="216"/>
      <c r="AO42" s="213" t="s">
        <v>21</v>
      </c>
      <c r="AP42" s="213"/>
      <c r="AQ42" s="213"/>
      <c r="AR42" s="213"/>
      <c r="AS42" s="213"/>
      <c r="AT42" s="213"/>
      <c r="AU42" s="213"/>
      <c r="AV42" s="213"/>
      <c r="AW42" s="213"/>
      <c r="AX42" s="213"/>
      <c r="AY42" s="213"/>
      <c r="AZ42" s="213"/>
      <c r="BA42" s="213"/>
      <c r="BB42" s="214"/>
      <c r="BC42" s="40"/>
      <c r="BD42" s="40"/>
      <c r="BE42" s="219"/>
      <c r="BF42" s="217"/>
      <c r="BG42" s="217"/>
      <c r="BH42" s="218"/>
      <c r="BI42" s="219"/>
      <c r="BJ42" s="217"/>
      <c r="BK42" s="217"/>
      <c r="BL42" s="218"/>
      <c r="BM42" s="219"/>
      <c r="BN42" s="217"/>
      <c r="BO42" s="217"/>
      <c r="BP42" s="218"/>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215" t="str">
        <f>IF([2]回答表!X41="○",[2]回答表!O69,IF([2]回答表!AA41="○",[2]回答表!O89,""))</f>
        <v/>
      </c>
      <c r="AN43" s="216"/>
      <c r="AO43" s="213" t="s">
        <v>22</v>
      </c>
      <c r="AP43" s="213"/>
      <c r="AQ43" s="213"/>
      <c r="AR43" s="213"/>
      <c r="AS43" s="213"/>
      <c r="AT43" s="213"/>
      <c r="AU43" s="213"/>
      <c r="AV43" s="213"/>
      <c r="AW43" s="213"/>
      <c r="AX43" s="213"/>
      <c r="AY43" s="213"/>
      <c r="AZ43" s="213"/>
      <c r="BA43" s="213"/>
      <c r="BB43" s="214"/>
      <c r="BC43" s="40"/>
      <c r="BD43" s="35"/>
      <c r="BE43" s="82" t="s">
        <v>23</v>
      </c>
      <c r="BF43" s="217"/>
      <c r="BG43" s="217"/>
      <c r="BH43" s="218"/>
      <c r="BI43" s="82" t="s">
        <v>24</v>
      </c>
      <c r="BJ43" s="217"/>
      <c r="BK43" s="217"/>
      <c r="BL43" s="218"/>
      <c r="BM43" s="82" t="s">
        <v>25</v>
      </c>
      <c r="BN43" s="217"/>
      <c r="BO43" s="217"/>
      <c r="BP43" s="218"/>
      <c r="BQ43" s="38"/>
      <c r="BR43" s="25"/>
    </row>
    <row r="44" spans="1:70" ht="15.6" customHeight="1" x14ac:dyDescent="0.4">
      <c r="A44" s="25"/>
      <c r="B44" s="25"/>
      <c r="C44" s="33"/>
      <c r="D44" s="140" t="s">
        <v>26</v>
      </c>
      <c r="E44" s="141"/>
      <c r="F44" s="141"/>
      <c r="G44" s="141"/>
      <c r="H44" s="141"/>
      <c r="I44" s="141"/>
      <c r="J44" s="141"/>
      <c r="K44" s="141"/>
      <c r="L44" s="141"/>
      <c r="M44" s="142"/>
      <c r="N44" s="97" t="str">
        <f>IF([2]回答表!AA41="○","○","")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215" t="str">
        <f>IF([2]回答表!X41="○",[2]回答表!O70,IF([2]回答表!AA41="○",[2]回答表!O90,""))</f>
        <v/>
      </c>
      <c r="AN44" s="216"/>
      <c r="AO44" s="213" t="s">
        <v>27</v>
      </c>
      <c r="AP44" s="213"/>
      <c r="AQ44" s="213"/>
      <c r="AR44" s="213"/>
      <c r="AS44" s="213"/>
      <c r="AT44" s="213"/>
      <c r="AU44" s="213"/>
      <c r="AV44" s="213"/>
      <c r="AW44" s="213"/>
      <c r="AX44" s="213"/>
      <c r="AY44" s="213"/>
      <c r="AZ44" s="213"/>
      <c r="BA44" s="213"/>
      <c r="BB44" s="214"/>
      <c r="BC44" s="40"/>
      <c r="BD44" s="54"/>
      <c r="BE44" s="219"/>
      <c r="BF44" s="217"/>
      <c r="BG44" s="217"/>
      <c r="BH44" s="218"/>
      <c r="BI44" s="219"/>
      <c r="BJ44" s="217"/>
      <c r="BK44" s="217"/>
      <c r="BL44" s="218"/>
      <c r="BM44" s="219"/>
      <c r="BN44" s="217"/>
      <c r="BO44" s="217"/>
      <c r="BP44" s="218"/>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215" t="str">
        <f>IF([2]回答表!X41="○",[2]回答表!O71,IF([2]回答表!AA41="○",[2]回答表!O91,""))</f>
        <v/>
      </c>
      <c r="AN45" s="216"/>
      <c r="AO45" s="213" t="s">
        <v>28</v>
      </c>
      <c r="AP45" s="213"/>
      <c r="AQ45" s="213"/>
      <c r="AR45" s="213"/>
      <c r="AS45" s="213"/>
      <c r="AT45" s="213"/>
      <c r="AU45" s="213"/>
      <c r="AV45" s="213"/>
      <c r="AW45" s="213"/>
      <c r="AX45" s="213"/>
      <c r="AY45" s="213"/>
      <c r="AZ45" s="213"/>
      <c r="BA45" s="213"/>
      <c r="BB45" s="214"/>
      <c r="BC45" s="40"/>
      <c r="BD45" s="54"/>
      <c r="BE45" s="220"/>
      <c r="BF45" s="221"/>
      <c r="BG45" s="221"/>
      <c r="BH45" s="222"/>
      <c r="BI45" s="220"/>
      <c r="BJ45" s="221"/>
      <c r="BK45" s="221"/>
      <c r="BL45" s="222"/>
      <c r="BM45" s="220"/>
      <c r="BN45" s="221"/>
      <c r="BO45" s="221"/>
      <c r="BP45" s="222"/>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215" t="str">
        <f>IF([2]回答表!X41="○",[2]回答表!AG68,IF([2]回答表!AA41="○",[2]回答表!AG88,""))</f>
        <v/>
      </c>
      <c r="AN46" s="216"/>
      <c r="AO46" s="213" t="s">
        <v>29</v>
      </c>
      <c r="AP46" s="213"/>
      <c r="AQ46" s="213"/>
      <c r="AR46" s="213"/>
      <c r="AS46" s="213"/>
      <c r="AT46" s="213"/>
      <c r="AU46" s="213"/>
      <c r="AV46" s="213"/>
      <c r="AW46" s="213"/>
      <c r="AX46" s="213"/>
      <c r="AY46" s="213"/>
      <c r="AZ46" s="213"/>
      <c r="BA46" s="213"/>
      <c r="BB46" s="214"/>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215" t="str">
        <f>IF([2]回答表!X41="○",[2]回答表!AG69,IF([2]回答表!AA41="○",[2]回答表!AG89,""))</f>
        <v/>
      </c>
      <c r="AN47" s="216"/>
      <c r="AO47" s="213" t="s">
        <v>30</v>
      </c>
      <c r="AP47" s="213"/>
      <c r="AQ47" s="213"/>
      <c r="AR47" s="213"/>
      <c r="AS47" s="213"/>
      <c r="AT47" s="213"/>
      <c r="AU47" s="213"/>
      <c r="AV47" s="213"/>
      <c r="AW47" s="213"/>
      <c r="AX47" s="213"/>
      <c r="AY47" s="213"/>
      <c r="AZ47" s="213"/>
      <c r="BA47" s="213"/>
      <c r="BB47" s="214"/>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215" t="str">
        <f>IF([2]回答表!X41="○",[2]回答表!AG70,IF([2]回答表!AA41="○",[2]回答表!AG90,""))</f>
        <v/>
      </c>
      <c r="AN48" s="216"/>
      <c r="AO48" s="213" t="s">
        <v>31</v>
      </c>
      <c r="AP48" s="213"/>
      <c r="AQ48" s="213"/>
      <c r="AR48" s="213"/>
      <c r="AS48" s="213"/>
      <c r="AT48" s="213"/>
      <c r="AU48" s="213"/>
      <c r="AV48" s="213"/>
      <c r="AW48" s="213"/>
      <c r="AX48" s="213"/>
      <c r="AY48" s="213"/>
      <c r="AZ48" s="213"/>
      <c r="BA48" s="213"/>
      <c r="BB48" s="214"/>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IF([2]回答表!AD41="○","○","")</f>
        <v/>
      </c>
      <c r="O52" s="98"/>
      <c r="P52" s="98"/>
      <c r="Q52" s="99"/>
      <c r="R52" s="39"/>
      <c r="S52" s="39"/>
      <c r="T52" s="39"/>
      <c r="U52" s="106" t="str">
        <f>IF([2]回答表!AD41="○",[2]回答表!B96,"")</f>
        <v/>
      </c>
      <c r="V52" s="107"/>
      <c r="W52" s="107"/>
      <c r="X52" s="107"/>
      <c r="Y52" s="107"/>
      <c r="Z52" s="107"/>
      <c r="AA52" s="107"/>
      <c r="AB52" s="107"/>
      <c r="AC52" s="107"/>
      <c r="AD52" s="107"/>
      <c r="AE52" s="107"/>
      <c r="AF52" s="107"/>
      <c r="AG52" s="107"/>
      <c r="AH52" s="107"/>
      <c r="AI52" s="107"/>
      <c r="AJ52" s="108"/>
      <c r="AK52" s="56"/>
      <c r="AL52" s="56"/>
      <c r="AM52" s="106" t="str">
        <f>IF([2]回答表!AD41="○",[2]回答表!B101,"")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IF([2]回答表!X42="○","○","")</f>
        <v/>
      </c>
      <c r="O63" s="98"/>
      <c r="P63" s="98"/>
      <c r="Q63" s="99"/>
      <c r="R63" s="39"/>
      <c r="S63" s="39"/>
      <c r="T63" s="39"/>
      <c r="U63" s="106" t="str">
        <f>IF([2]回答表!X42="○",[2]回答表!B111,IF([2]回答表!AA42="○",[2]回答表!B124,""))</f>
        <v/>
      </c>
      <c r="V63" s="107"/>
      <c r="W63" s="107"/>
      <c r="X63" s="107"/>
      <c r="Y63" s="107"/>
      <c r="Z63" s="107"/>
      <c r="AA63" s="107"/>
      <c r="AB63" s="107"/>
      <c r="AC63" s="107"/>
      <c r="AD63" s="107"/>
      <c r="AE63" s="107"/>
      <c r="AF63" s="107"/>
      <c r="AG63" s="107"/>
      <c r="AH63" s="107"/>
      <c r="AI63" s="107"/>
      <c r="AJ63" s="108"/>
      <c r="AK63" s="50"/>
      <c r="AL63" s="50"/>
      <c r="AM63" s="212" t="s">
        <v>37</v>
      </c>
      <c r="AN63" s="212"/>
      <c r="AO63" s="212"/>
      <c r="AP63" s="212"/>
      <c r="AQ63" s="212"/>
      <c r="AR63" s="212"/>
      <c r="AS63" s="212"/>
      <c r="AT63" s="212"/>
      <c r="AU63" s="212" t="s">
        <v>38</v>
      </c>
      <c r="AV63" s="212"/>
      <c r="AW63" s="212"/>
      <c r="AX63" s="212"/>
      <c r="AY63" s="212"/>
      <c r="AZ63" s="212"/>
      <c r="BA63" s="212"/>
      <c r="BB63" s="212"/>
      <c r="BC63" s="40"/>
      <c r="BD63" s="35"/>
      <c r="BE63" s="115" t="str">
        <f>IF([2]回答表!X42="○",[2]回答表!S117,IF([2]回答表!AA42="○",[2]回答表!S130,""))</f>
        <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212"/>
      <c r="AN64" s="212"/>
      <c r="AO64" s="212"/>
      <c r="AP64" s="212"/>
      <c r="AQ64" s="212"/>
      <c r="AR64" s="212"/>
      <c r="AS64" s="212"/>
      <c r="AT64" s="212"/>
      <c r="AU64" s="212"/>
      <c r="AV64" s="212"/>
      <c r="AW64" s="212"/>
      <c r="AX64" s="212"/>
      <c r="AY64" s="212"/>
      <c r="AZ64" s="212"/>
      <c r="BA64" s="212"/>
      <c r="BB64" s="212"/>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212"/>
      <c r="AN65" s="212"/>
      <c r="AO65" s="212"/>
      <c r="AP65" s="212"/>
      <c r="AQ65" s="212"/>
      <c r="AR65" s="212"/>
      <c r="AS65" s="212"/>
      <c r="AT65" s="212"/>
      <c r="AU65" s="212"/>
      <c r="AV65" s="212"/>
      <c r="AW65" s="212"/>
      <c r="AX65" s="212"/>
      <c r="AY65" s="212"/>
      <c r="AZ65" s="212"/>
      <c r="BA65" s="212"/>
      <c r="BB65" s="212"/>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IF([2]回答表!X42="○",[2]回答表!J117,IF([2]回答表!AA42="○",[2]回答表!J130,""))</f>
        <v/>
      </c>
      <c r="AN66" s="119"/>
      <c r="AO66" s="119"/>
      <c r="AP66" s="119"/>
      <c r="AQ66" s="119"/>
      <c r="AR66" s="119"/>
      <c r="AS66" s="119"/>
      <c r="AT66" s="120"/>
      <c r="AU66" s="118" t="str">
        <f>IF([2]回答表!X42="○",[2]回答表!J118,IF([2]回答表!AA42="○",[2]回答表!J131,""))</f>
        <v/>
      </c>
      <c r="AV66" s="119"/>
      <c r="AW66" s="119"/>
      <c r="AX66" s="119"/>
      <c r="AY66" s="119"/>
      <c r="AZ66" s="119"/>
      <c r="BA66" s="119"/>
      <c r="BB66" s="120"/>
      <c r="BC66" s="40"/>
      <c r="BD66" s="35"/>
      <c r="BE66" s="82" t="str">
        <f>IF([2]回答表!X42="○",[2]回答表!V117,IF([2]回答表!AA42="○",[2]回答表!V130,""))</f>
        <v/>
      </c>
      <c r="BF66" s="83"/>
      <c r="BG66" s="83"/>
      <c r="BH66" s="83"/>
      <c r="BI66" s="82" t="str">
        <f>IF([2]回答表!X42="○",[2]回答表!V118,IF([2]回答表!AA42="○",[2]回答表!V131,""))</f>
        <v/>
      </c>
      <c r="BJ66" s="83"/>
      <c r="BK66" s="83"/>
      <c r="BL66" s="83"/>
      <c r="BM66" s="82" t="str">
        <f>IF([2]回答表!X42="○",[2]回答表!V119,IF([2]回答表!AA42="○",[2]回答表!V132,""))</f>
        <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IF([2]回答表!AA42="○","○","")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IF([2]回答表!AD42="○","○","")</f>
        <v/>
      </c>
      <c r="O75" s="98"/>
      <c r="P75" s="98"/>
      <c r="Q75" s="99"/>
      <c r="R75" s="39"/>
      <c r="S75" s="39"/>
      <c r="T75" s="39"/>
      <c r="U75" s="106" t="str">
        <f>IF([2]回答表!AD42="○",[2]回答表!B137,"")</f>
        <v/>
      </c>
      <c r="V75" s="107"/>
      <c r="W75" s="107"/>
      <c r="X75" s="107"/>
      <c r="Y75" s="107"/>
      <c r="Z75" s="107"/>
      <c r="AA75" s="107"/>
      <c r="AB75" s="107"/>
      <c r="AC75" s="107"/>
      <c r="AD75" s="107"/>
      <c r="AE75" s="107"/>
      <c r="AF75" s="107"/>
      <c r="AG75" s="107"/>
      <c r="AH75" s="107"/>
      <c r="AI75" s="107"/>
      <c r="AJ75" s="108"/>
      <c r="AK75" s="56"/>
      <c r="AL75" s="56"/>
      <c r="AM75" s="106" t="str">
        <f>IF([2]回答表!AD42="○",[2]回答表!B143,"")</f>
        <v/>
      </c>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8"/>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109"/>
      <c r="V76" s="110"/>
      <c r="W76" s="110"/>
      <c r="X76" s="110"/>
      <c r="Y76" s="110"/>
      <c r="Z76" s="110"/>
      <c r="AA76" s="110"/>
      <c r="AB76" s="110"/>
      <c r="AC76" s="110"/>
      <c r="AD76" s="110"/>
      <c r="AE76" s="110"/>
      <c r="AF76" s="110"/>
      <c r="AG76" s="110"/>
      <c r="AH76" s="110"/>
      <c r="AI76" s="110"/>
      <c r="AJ76" s="111"/>
      <c r="AK76" s="56"/>
      <c r="AL76" s="56"/>
      <c r="AM76" s="109"/>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1"/>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109"/>
      <c r="V77" s="110"/>
      <c r="W77" s="110"/>
      <c r="X77" s="110"/>
      <c r="Y77" s="110"/>
      <c r="Z77" s="110"/>
      <c r="AA77" s="110"/>
      <c r="AB77" s="110"/>
      <c r="AC77" s="110"/>
      <c r="AD77" s="110"/>
      <c r="AE77" s="110"/>
      <c r="AF77" s="110"/>
      <c r="AG77" s="110"/>
      <c r="AH77" s="110"/>
      <c r="AI77" s="110"/>
      <c r="AJ77" s="111"/>
      <c r="AK77" s="56"/>
      <c r="AL77" s="56"/>
      <c r="AM77" s="109"/>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1"/>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112"/>
      <c r="V78" s="113"/>
      <c r="W78" s="113"/>
      <c r="X78" s="113"/>
      <c r="Y78" s="113"/>
      <c r="Z78" s="113"/>
      <c r="AA78" s="113"/>
      <c r="AB78" s="113"/>
      <c r="AC78" s="113"/>
      <c r="AD78" s="113"/>
      <c r="AE78" s="113"/>
      <c r="AF78" s="113"/>
      <c r="AG78" s="113"/>
      <c r="AH78" s="113"/>
      <c r="AI78" s="113"/>
      <c r="AJ78" s="114"/>
      <c r="AK78" s="56"/>
      <c r="AL78" s="56"/>
      <c r="AM78" s="112"/>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4"/>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62"/>
      <c r="AS81" s="162"/>
      <c r="AT81" s="162"/>
      <c r="AU81" s="162"/>
      <c r="AV81" s="162"/>
      <c r="AW81" s="162"/>
      <c r="AX81" s="162"/>
      <c r="AY81" s="162"/>
      <c r="AZ81" s="162"/>
      <c r="BA81" s="162"/>
      <c r="BB81" s="162"/>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87"/>
      <c r="AS82" s="187"/>
      <c r="AT82" s="187"/>
      <c r="AU82" s="187"/>
      <c r="AV82" s="187"/>
      <c r="AW82" s="187"/>
      <c r="AX82" s="187"/>
      <c r="AY82" s="187"/>
      <c r="AZ82" s="187"/>
      <c r="BA82" s="187"/>
      <c r="BB82" s="187"/>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81" t="s">
        <v>18</v>
      </c>
      <c r="E87" s="181"/>
      <c r="F87" s="181"/>
      <c r="G87" s="181"/>
      <c r="H87" s="181"/>
      <c r="I87" s="181"/>
      <c r="J87" s="181"/>
      <c r="K87" s="181"/>
      <c r="L87" s="181"/>
      <c r="M87" s="181"/>
      <c r="N87" s="97" t="str">
        <f>IF([2]回答表!F17="水道事業",IF([2]回答表!X43="○","○",""),"")</f>
        <v/>
      </c>
      <c r="O87" s="98"/>
      <c r="P87" s="98"/>
      <c r="Q87" s="99"/>
      <c r="R87" s="39"/>
      <c r="S87" s="39"/>
      <c r="T87" s="39"/>
      <c r="U87" s="188" t="s">
        <v>41</v>
      </c>
      <c r="V87" s="189"/>
      <c r="W87" s="189"/>
      <c r="X87" s="189"/>
      <c r="Y87" s="189"/>
      <c r="Z87" s="189"/>
      <c r="AA87" s="189"/>
      <c r="AB87" s="189"/>
      <c r="AC87" s="188" t="s">
        <v>42</v>
      </c>
      <c r="AD87" s="189"/>
      <c r="AE87" s="189"/>
      <c r="AF87" s="189"/>
      <c r="AG87" s="189"/>
      <c r="AH87" s="189"/>
      <c r="AI87" s="189"/>
      <c r="AJ87" s="198"/>
      <c r="AK87" s="50"/>
      <c r="AL87" s="50"/>
      <c r="AM87" s="106" t="str">
        <f>IF([2]回答表!F17="水道事業",IF([2]回答表!X43="○",[2]回答表!B154,IF([2]回答表!AA43="○",[2]回答表!B201,"")),"")</f>
        <v/>
      </c>
      <c r="AN87" s="107"/>
      <c r="AO87" s="107"/>
      <c r="AP87" s="107"/>
      <c r="AQ87" s="107"/>
      <c r="AR87" s="107"/>
      <c r="AS87" s="107"/>
      <c r="AT87" s="107"/>
      <c r="AU87" s="107"/>
      <c r="AV87" s="107"/>
      <c r="AW87" s="107"/>
      <c r="AX87" s="107"/>
      <c r="AY87" s="107"/>
      <c r="AZ87" s="107"/>
      <c r="BA87" s="107"/>
      <c r="BB87" s="108"/>
      <c r="BC87" s="40"/>
      <c r="BD87" s="35"/>
      <c r="BE87" s="115" t="str">
        <f>IF([2]回答表!F17="水道事業",IF([2]回答表!X43="○",[2]回答表!B190,IF([2]回答表!AA43="○",[2]回答表!B238,"")),"")</f>
        <v/>
      </c>
      <c r="BF87" s="116"/>
      <c r="BG87" s="116"/>
      <c r="BH87" s="116"/>
      <c r="BI87" s="115"/>
      <c r="BJ87" s="116"/>
      <c r="BK87" s="116"/>
      <c r="BL87" s="116"/>
      <c r="BM87" s="115"/>
      <c r="BN87" s="116"/>
      <c r="BO87" s="116"/>
      <c r="BP87" s="117"/>
      <c r="BQ87" s="38"/>
    </row>
    <row r="88" spans="3:69" ht="19.350000000000001" customHeight="1" x14ac:dyDescent="0.4">
      <c r="C88" s="33"/>
      <c r="D88" s="181"/>
      <c r="E88" s="181"/>
      <c r="F88" s="181"/>
      <c r="G88" s="181"/>
      <c r="H88" s="181"/>
      <c r="I88" s="181"/>
      <c r="J88" s="181"/>
      <c r="K88" s="181"/>
      <c r="L88" s="181"/>
      <c r="M88" s="181"/>
      <c r="N88" s="100"/>
      <c r="O88" s="101"/>
      <c r="P88" s="101"/>
      <c r="Q88" s="102"/>
      <c r="R88" s="39"/>
      <c r="S88" s="39"/>
      <c r="T88" s="39"/>
      <c r="U88" s="190"/>
      <c r="V88" s="191"/>
      <c r="W88" s="191"/>
      <c r="X88" s="191"/>
      <c r="Y88" s="191"/>
      <c r="Z88" s="191"/>
      <c r="AA88" s="191"/>
      <c r="AB88" s="191"/>
      <c r="AC88" s="190"/>
      <c r="AD88" s="191"/>
      <c r="AE88" s="191"/>
      <c r="AF88" s="191"/>
      <c r="AG88" s="191"/>
      <c r="AH88" s="191"/>
      <c r="AI88" s="191"/>
      <c r="AJ88" s="199"/>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81"/>
      <c r="E89" s="181"/>
      <c r="F89" s="181"/>
      <c r="G89" s="181"/>
      <c r="H89" s="181"/>
      <c r="I89" s="181"/>
      <c r="J89" s="181"/>
      <c r="K89" s="181"/>
      <c r="L89" s="181"/>
      <c r="M89" s="181"/>
      <c r="N89" s="100"/>
      <c r="O89" s="101"/>
      <c r="P89" s="101"/>
      <c r="Q89" s="102"/>
      <c r="R89" s="39"/>
      <c r="S89" s="39"/>
      <c r="T89" s="39"/>
      <c r="U89" s="118" t="str">
        <f>IF([2]回答表!F17="水道事業",IF([2]回答表!X43="○",[2]回答表!J162,IF([2]回答表!AA43="○",[2]回答表!J209,"")),"")</f>
        <v/>
      </c>
      <c r="V89" s="119"/>
      <c r="W89" s="119"/>
      <c r="X89" s="119"/>
      <c r="Y89" s="119"/>
      <c r="Z89" s="119"/>
      <c r="AA89" s="119"/>
      <c r="AB89" s="120"/>
      <c r="AC89" s="118" t="str">
        <f>IF([2]回答表!F17="水道事業",IF([2]回答表!X43="○",[2]回答表!J169,IF([2]回答表!AA43="○",[2]回答表!J216,"")),"")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81"/>
      <c r="E90" s="181"/>
      <c r="F90" s="181"/>
      <c r="G90" s="181"/>
      <c r="H90" s="181"/>
      <c r="I90" s="181"/>
      <c r="J90" s="181"/>
      <c r="K90" s="181"/>
      <c r="L90" s="181"/>
      <c r="M90" s="181"/>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IF([2]回答表!F17="水道事業",IF([2]回答表!X43="○",[2]回答表!E190,IF([2]回答表!AA43="○",[2]回答表!E238,"")),"")</f>
        <v/>
      </c>
      <c r="BF90" s="83"/>
      <c r="BG90" s="83"/>
      <c r="BH90" s="83"/>
      <c r="BI90" s="82" t="str">
        <f>IF([2]回答表!F17="水道事業",IF([2]回答表!X43="○",[2]回答表!E191,IF([2]回答表!AA43="○",[2]回答表!E239,"")),"")</f>
        <v/>
      </c>
      <c r="BJ90" s="83"/>
      <c r="BK90" s="83"/>
      <c r="BL90" s="83"/>
      <c r="BM90" s="82" t="str">
        <f>IF([2]回答表!F17="水道事業",IF([2]回答表!X43="○",[2]回答表!E192,IF([2]回答表!AA43="○",[2]回答表!E240,"")),"")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88" t="s">
        <v>43</v>
      </c>
      <c r="V92" s="189"/>
      <c r="W92" s="189"/>
      <c r="X92" s="189"/>
      <c r="Y92" s="189"/>
      <c r="Z92" s="189"/>
      <c r="AA92" s="189"/>
      <c r="AB92" s="189"/>
      <c r="AC92" s="188" t="s">
        <v>44</v>
      </c>
      <c r="AD92" s="189"/>
      <c r="AE92" s="189"/>
      <c r="AF92" s="189"/>
      <c r="AG92" s="189"/>
      <c r="AH92" s="189"/>
      <c r="AI92" s="189"/>
      <c r="AJ92" s="198"/>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86" t="s">
        <v>26</v>
      </c>
      <c r="E93" s="181"/>
      <c r="F93" s="181"/>
      <c r="G93" s="181"/>
      <c r="H93" s="181"/>
      <c r="I93" s="181"/>
      <c r="J93" s="181"/>
      <c r="K93" s="181"/>
      <c r="L93" s="181"/>
      <c r="M93" s="182"/>
      <c r="N93" s="97" t="str">
        <f>IF([2]回答表!F17="水道事業",IF([2]回答表!AA43="○","○",""),"")</f>
        <v/>
      </c>
      <c r="O93" s="98"/>
      <c r="P93" s="98"/>
      <c r="Q93" s="99"/>
      <c r="R93" s="39"/>
      <c r="S93" s="39"/>
      <c r="T93" s="39"/>
      <c r="U93" s="190"/>
      <c r="V93" s="191"/>
      <c r="W93" s="191"/>
      <c r="X93" s="191"/>
      <c r="Y93" s="191"/>
      <c r="Z93" s="191"/>
      <c r="AA93" s="191"/>
      <c r="AB93" s="191"/>
      <c r="AC93" s="190"/>
      <c r="AD93" s="191"/>
      <c r="AE93" s="191"/>
      <c r="AF93" s="191"/>
      <c r="AG93" s="191"/>
      <c r="AH93" s="191"/>
      <c r="AI93" s="191"/>
      <c r="AJ93" s="199"/>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81"/>
      <c r="E94" s="181"/>
      <c r="F94" s="181"/>
      <c r="G94" s="181"/>
      <c r="H94" s="181"/>
      <c r="I94" s="181"/>
      <c r="J94" s="181"/>
      <c r="K94" s="181"/>
      <c r="L94" s="181"/>
      <c r="M94" s="182"/>
      <c r="N94" s="100"/>
      <c r="O94" s="101"/>
      <c r="P94" s="101"/>
      <c r="Q94" s="102"/>
      <c r="R94" s="39"/>
      <c r="S94" s="39"/>
      <c r="T94" s="39"/>
      <c r="U94" s="118" t="str">
        <f>IF([2]回答表!F17="水道事業",IF([2]回答表!X43="○",[2]回答表!J172,IF([2]回答表!AA43="○",[2]回答表!J219,"")),"")</f>
        <v/>
      </c>
      <c r="V94" s="119"/>
      <c r="W94" s="119"/>
      <c r="X94" s="119"/>
      <c r="Y94" s="119"/>
      <c r="Z94" s="119"/>
      <c r="AA94" s="119"/>
      <c r="AB94" s="120"/>
      <c r="AC94" s="118" t="str">
        <f>IF([2]回答表!F17="水道事業",IF([2]回答表!X43="○",[2]回答表!J176,IF([2]回答表!AA43="○",[2]回答表!J223,"")),"")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81"/>
      <c r="E95" s="181"/>
      <c r="F95" s="181"/>
      <c r="G95" s="181"/>
      <c r="H95" s="181"/>
      <c r="I95" s="181"/>
      <c r="J95" s="181"/>
      <c r="K95" s="181"/>
      <c r="L95" s="181"/>
      <c r="M95" s="182"/>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81"/>
      <c r="E96" s="181"/>
      <c r="F96" s="181"/>
      <c r="G96" s="181"/>
      <c r="H96" s="181"/>
      <c r="I96" s="181"/>
      <c r="J96" s="181"/>
      <c r="K96" s="181"/>
      <c r="L96" s="181"/>
      <c r="M96" s="182"/>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81" t="s">
        <v>34</v>
      </c>
      <c r="E99" s="181"/>
      <c r="F99" s="181"/>
      <c r="G99" s="181"/>
      <c r="H99" s="181"/>
      <c r="I99" s="181"/>
      <c r="J99" s="181"/>
      <c r="K99" s="181"/>
      <c r="L99" s="181"/>
      <c r="M99" s="182"/>
      <c r="N99" s="97" t="str">
        <f>IF([2]回答表!F17="水道事業",IF([2]回答表!AD43="○","○",""),"")</f>
        <v/>
      </c>
      <c r="O99" s="98"/>
      <c r="P99" s="98"/>
      <c r="Q99" s="99"/>
      <c r="R99" s="39"/>
      <c r="S99" s="39"/>
      <c r="T99" s="39"/>
      <c r="U99" s="106" t="str">
        <f>IF([2]回答表!F17="水道事業",IF([2]回答表!AD43="○",[2]回答表!B249,""),"")</f>
        <v/>
      </c>
      <c r="V99" s="107"/>
      <c r="W99" s="107"/>
      <c r="X99" s="107"/>
      <c r="Y99" s="107"/>
      <c r="Z99" s="107"/>
      <c r="AA99" s="107"/>
      <c r="AB99" s="107"/>
      <c r="AC99" s="107"/>
      <c r="AD99" s="107"/>
      <c r="AE99" s="107"/>
      <c r="AF99" s="107"/>
      <c r="AG99" s="107"/>
      <c r="AH99" s="107"/>
      <c r="AI99" s="107"/>
      <c r="AJ99" s="108"/>
      <c r="AK99" s="56"/>
      <c r="AL99" s="56"/>
      <c r="AM99" s="106" t="str">
        <f>IF([2]回答表!F17="水道事業",IF([2]回答表!AD43="○",[2]回答表!B255,""),"")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81"/>
      <c r="E100" s="181"/>
      <c r="F100" s="181"/>
      <c r="G100" s="181"/>
      <c r="H100" s="181"/>
      <c r="I100" s="181"/>
      <c r="J100" s="181"/>
      <c r="K100" s="181"/>
      <c r="L100" s="181"/>
      <c r="M100" s="182"/>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81"/>
      <c r="E101" s="181"/>
      <c r="F101" s="181"/>
      <c r="G101" s="181"/>
      <c r="H101" s="181"/>
      <c r="I101" s="181"/>
      <c r="J101" s="181"/>
      <c r="K101" s="181"/>
      <c r="L101" s="181"/>
      <c r="M101" s="182"/>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81"/>
      <c r="E102" s="181"/>
      <c r="F102" s="181"/>
      <c r="G102" s="181"/>
      <c r="H102" s="181"/>
      <c r="I102" s="181"/>
      <c r="J102" s="181"/>
      <c r="K102" s="181"/>
      <c r="L102" s="181"/>
      <c r="M102" s="182"/>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62"/>
      <c r="AS105" s="162"/>
      <c r="AT105" s="162"/>
      <c r="AU105" s="162"/>
      <c r="AV105" s="162"/>
      <c r="AW105" s="162"/>
      <c r="AX105" s="162"/>
      <c r="AY105" s="162"/>
      <c r="AZ105" s="162"/>
      <c r="BA105" s="162"/>
      <c r="BB105" s="162"/>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87"/>
      <c r="AS106" s="187"/>
      <c r="AT106" s="187"/>
      <c r="AU106" s="187"/>
      <c r="AV106" s="187"/>
      <c r="AW106" s="187"/>
      <c r="AX106" s="187"/>
      <c r="AY106" s="187"/>
      <c r="AZ106" s="187"/>
      <c r="BA106" s="187"/>
      <c r="BB106" s="187"/>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81" t="s">
        <v>18</v>
      </c>
      <c r="E111" s="181"/>
      <c r="F111" s="181"/>
      <c r="G111" s="181"/>
      <c r="H111" s="181"/>
      <c r="I111" s="181"/>
      <c r="J111" s="181"/>
      <c r="K111" s="181"/>
      <c r="L111" s="181"/>
      <c r="M111" s="181"/>
      <c r="N111" s="97" t="str">
        <f>IF([2]回答表!F17="簡易水道事業",IF([2]回答表!X43="○","○",""),"")</f>
        <v/>
      </c>
      <c r="O111" s="98"/>
      <c r="P111" s="98"/>
      <c r="Q111" s="99"/>
      <c r="R111" s="39"/>
      <c r="S111" s="39"/>
      <c r="T111" s="39"/>
      <c r="U111" s="188" t="s">
        <v>46</v>
      </c>
      <c r="V111" s="189"/>
      <c r="W111" s="189"/>
      <c r="X111" s="189"/>
      <c r="Y111" s="189"/>
      <c r="Z111" s="189"/>
      <c r="AA111" s="189"/>
      <c r="AB111" s="189"/>
      <c r="AC111" s="189"/>
      <c r="AD111" s="189"/>
      <c r="AE111" s="189"/>
      <c r="AF111" s="189"/>
      <c r="AG111" s="189"/>
      <c r="AH111" s="189"/>
      <c r="AI111" s="189"/>
      <c r="AJ111" s="198"/>
      <c r="AK111" s="50"/>
      <c r="AL111" s="50"/>
      <c r="AM111" s="106" t="str">
        <f>IF([2]回答表!F17="簡易水道事業",IF([2]回答表!X43="○",[2]回答表!B154,IF([2]回答表!AA43="○",[2]回答表!B201,"")),"")</f>
        <v/>
      </c>
      <c r="AN111" s="107"/>
      <c r="AO111" s="107"/>
      <c r="AP111" s="107"/>
      <c r="AQ111" s="107"/>
      <c r="AR111" s="107"/>
      <c r="AS111" s="107"/>
      <c r="AT111" s="107"/>
      <c r="AU111" s="107"/>
      <c r="AV111" s="107"/>
      <c r="AW111" s="107"/>
      <c r="AX111" s="107"/>
      <c r="AY111" s="107"/>
      <c r="AZ111" s="107"/>
      <c r="BA111" s="107"/>
      <c r="BB111" s="108"/>
      <c r="BC111" s="40"/>
      <c r="BD111" s="35"/>
      <c r="BE111" s="115" t="str">
        <f>IF([2]回答表!F17="簡易水道事業",IF([2]回答表!X43="○",[2]回答表!B190,IF([2]回答表!AA43="○",[2]回答表!B238,"")),"")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81"/>
      <c r="E112" s="181"/>
      <c r="F112" s="181"/>
      <c r="G112" s="181"/>
      <c r="H112" s="181"/>
      <c r="I112" s="181"/>
      <c r="J112" s="181"/>
      <c r="K112" s="181"/>
      <c r="L112" s="181"/>
      <c r="M112" s="181"/>
      <c r="N112" s="100"/>
      <c r="O112" s="101"/>
      <c r="P112" s="101"/>
      <c r="Q112" s="102"/>
      <c r="R112" s="39"/>
      <c r="S112" s="39"/>
      <c r="T112" s="39"/>
      <c r="U112" s="200"/>
      <c r="V112" s="201"/>
      <c r="W112" s="201"/>
      <c r="X112" s="201"/>
      <c r="Y112" s="201"/>
      <c r="Z112" s="201"/>
      <c r="AA112" s="201"/>
      <c r="AB112" s="201"/>
      <c r="AC112" s="201"/>
      <c r="AD112" s="201"/>
      <c r="AE112" s="201"/>
      <c r="AF112" s="201"/>
      <c r="AG112" s="201"/>
      <c r="AH112" s="201"/>
      <c r="AI112" s="201"/>
      <c r="AJ112" s="202"/>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81"/>
      <c r="E113" s="181"/>
      <c r="F113" s="181"/>
      <c r="G113" s="181"/>
      <c r="H113" s="181"/>
      <c r="I113" s="181"/>
      <c r="J113" s="181"/>
      <c r="K113" s="181"/>
      <c r="L113" s="181"/>
      <c r="M113" s="181"/>
      <c r="N113" s="100"/>
      <c r="O113" s="101"/>
      <c r="P113" s="101"/>
      <c r="Q113" s="102"/>
      <c r="R113" s="39"/>
      <c r="S113" s="39"/>
      <c r="T113" s="39"/>
      <c r="U113" s="118" t="str">
        <f>IF([2]回答表!F17="簡易水道事業",IF([2]回答表!X43="○",[2]回答表!Y181,IF([2]回答表!AA43="○",[2]回答表!Y229,"")),"")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81"/>
      <c r="E114" s="181"/>
      <c r="F114" s="181"/>
      <c r="G114" s="181"/>
      <c r="H114" s="181"/>
      <c r="I114" s="181"/>
      <c r="J114" s="181"/>
      <c r="K114" s="181"/>
      <c r="L114" s="181"/>
      <c r="M114" s="181"/>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IF([2]回答表!F17="簡易水道事業",IF([2]回答表!X43="○",[2]回答表!E190,IF([2]回答表!AA43="○",[2]回答表!E238,"")),"")</f>
        <v/>
      </c>
      <c r="BF114" s="83"/>
      <c r="BG114" s="83"/>
      <c r="BH114" s="83"/>
      <c r="BI114" s="82" t="str">
        <f>IF([2]回答表!F17="簡易水道事業",IF([2]回答表!X43="○",[2]回答表!E191,IF([2]回答表!AA43="○",[2]回答表!E239,"")),"")</f>
        <v/>
      </c>
      <c r="BJ114" s="83"/>
      <c r="BK114" s="83"/>
      <c r="BL114" s="83"/>
      <c r="BM114" s="82" t="str">
        <f>IF([2]回答表!F17="簡易水道事業",IF([2]回答表!X43="○",[2]回答表!E192,IF([2]回答表!AA43="○",[2]回答表!E240,"")),"")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88" t="s">
        <v>47</v>
      </c>
      <c r="V116" s="189"/>
      <c r="W116" s="189"/>
      <c r="X116" s="189"/>
      <c r="Y116" s="189"/>
      <c r="Z116" s="189"/>
      <c r="AA116" s="189"/>
      <c r="AB116" s="189"/>
      <c r="AC116" s="189"/>
      <c r="AD116" s="189"/>
      <c r="AE116" s="189"/>
      <c r="AF116" s="189"/>
      <c r="AG116" s="189"/>
      <c r="AH116" s="189"/>
      <c r="AI116" s="189"/>
      <c r="AJ116" s="198"/>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86" t="s">
        <v>26</v>
      </c>
      <c r="E117" s="181"/>
      <c r="F117" s="181"/>
      <c r="G117" s="181"/>
      <c r="H117" s="181"/>
      <c r="I117" s="181"/>
      <c r="J117" s="181"/>
      <c r="K117" s="181"/>
      <c r="L117" s="181"/>
      <c r="M117" s="182"/>
      <c r="N117" s="97" t="str">
        <f>IF([2]回答表!F17="簡易水道事業",IF([2]回答表!AA43="○","○",""),"")</f>
        <v/>
      </c>
      <c r="O117" s="98"/>
      <c r="P117" s="98"/>
      <c r="Q117" s="99"/>
      <c r="R117" s="39"/>
      <c r="S117" s="39"/>
      <c r="T117" s="39"/>
      <c r="U117" s="200"/>
      <c r="V117" s="201"/>
      <c r="W117" s="201"/>
      <c r="X117" s="201"/>
      <c r="Y117" s="201"/>
      <c r="Z117" s="201"/>
      <c r="AA117" s="201"/>
      <c r="AB117" s="201"/>
      <c r="AC117" s="201"/>
      <c r="AD117" s="201"/>
      <c r="AE117" s="201"/>
      <c r="AF117" s="201"/>
      <c r="AG117" s="201"/>
      <c r="AH117" s="201"/>
      <c r="AI117" s="201"/>
      <c r="AJ117" s="202"/>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81"/>
      <c r="E118" s="181"/>
      <c r="F118" s="181"/>
      <c r="G118" s="181"/>
      <c r="H118" s="181"/>
      <c r="I118" s="181"/>
      <c r="J118" s="181"/>
      <c r="K118" s="181"/>
      <c r="L118" s="181"/>
      <c r="M118" s="182"/>
      <c r="N118" s="100"/>
      <c r="O118" s="101"/>
      <c r="P118" s="101"/>
      <c r="Q118" s="102"/>
      <c r="R118" s="39"/>
      <c r="S118" s="39"/>
      <c r="T118" s="39"/>
      <c r="U118" s="118" t="str">
        <f>IF([2]回答表!F17="簡易水道事業",IF([2]回答表!X43="○",[2]回答表!Y182,IF([2]回答表!AA43="○",[2]回答表!Y230,"")),"")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81"/>
      <c r="E119" s="181"/>
      <c r="F119" s="181"/>
      <c r="G119" s="181"/>
      <c r="H119" s="181"/>
      <c r="I119" s="181"/>
      <c r="J119" s="181"/>
      <c r="K119" s="181"/>
      <c r="L119" s="181"/>
      <c r="M119" s="182"/>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81"/>
      <c r="E120" s="181"/>
      <c r="F120" s="181"/>
      <c r="G120" s="181"/>
      <c r="H120" s="181"/>
      <c r="I120" s="181"/>
      <c r="J120" s="181"/>
      <c r="K120" s="181"/>
      <c r="L120" s="181"/>
      <c r="M120" s="182"/>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81" t="s">
        <v>34</v>
      </c>
      <c r="E123" s="181"/>
      <c r="F123" s="181"/>
      <c r="G123" s="181"/>
      <c r="H123" s="181"/>
      <c r="I123" s="181"/>
      <c r="J123" s="181"/>
      <c r="K123" s="181"/>
      <c r="L123" s="181"/>
      <c r="M123" s="182"/>
      <c r="N123" s="97" t="str">
        <f>IF([2]回答表!F17="簡易水道事業",IF([2]回答表!AD43="○","○",""),"")</f>
        <v/>
      </c>
      <c r="O123" s="98"/>
      <c r="P123" s="98"/>
      <c r="Q123" s="99"/>
      <c r="R123" s="39"/>
      <c r="S123" s="39"/>
      <c r="T123" s="39"/>
      <c r="U123" s="106" t="str">
        <f>IF([2]回答表!F17="簡易水道事業",IF([2]回答表!AD43="○",[2]回答表!B249,""),"")</f>
        <v/>
      </c>
      <c r="V123" s="107"/>
      <c r="W123" s="107"/>
      <c r="X123" s="107"/>
      <c r="Y123" s="107"/>
      <c r="Z123" s="107"/>
      <c r="AA123" s="107"/>
      <c r="AB123" s="107"/>
      <c r="AC123" s="107"/>
      <c r="AD123" s="107"/>
      <c r="AE123" s="107"/>
      <c r="AF123" s="107"/>
      <c r="AG123" s="107"/>
      <c r="AH123" s="107"/>
      <c r="AI123" s="107"/>
      <c r="AJ123" s="108"/>
      <c r="AK123" s="56"/>
      <c r="AL123" s="56"/>
      <c r="AM123" s="106" t="str">
        <f>IF([2]回答表!F17="簡易水道事業",IF([2]回答表!AD43="○",[2]回答表!B255,""),"")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81"/>
      <c r="E124" s="181"/>
      <c r="F124" s="181"/>
      <c r="G124" s="181"/>
      <c r="H124" s="181"/>
      <c r="I124" s="181"/>
      <c r="J124" s="181"/>
      <c r="K124" s="181"/>
      <c r="L124" s="181"/>
      <c r="M124" s="182"/>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81"/>
      <c r="E125" s="181"/>
      <c r="F125" s="181"/>
      <c r="G125" s="181"/>
      <c r="H125" s="181"/>
      <c r="I125" s="181"/>
      <c r="J125" s="181"/>
      <c r="K125" s="181"/>
      <c r="L125" s="181"/>
      <c r="M125" s="182"/>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81"/>
      <c r="E126" s="181"/>
      <c r="F126" s="181"/>
      <c r="G126" s="181"/>
      <c r="H126" s="181"/>
      <c r="I126" s="181"/>
      <c r="J126" s="181"/>
      <c r="K126" s="181"/>
      <c r="L126" s="181"/>
      <c r="M126" s="182"/>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62"/>
      <c r="AS129" s="162"/>
      <c r="AT129" s="162"/>
      <c r="AU129" s="162"/>
      <c r="AV129" s="162"/>
      <c r="AW129" s="162"/>
      <c r="AX129" s="162"/>
      <c r="AY129" s="162"/>
      <c r="AZ129" s="162"/>
      <c r="BA129" s="162"/>
      <c r="BB129" s="162"/>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87"/>
      <c r="AS130" s="187"/>
      <c r="AT130" s="187"/>
      <c r="AU130" s="187"/>
      <c r="AV130" s="187"/>
      <c r="AW130" s="187"/>
      <c r="AX130" s="187"/>
      <c r="AY130" s="187"/>
      <c r="AZ130" s="187"/>
      <c r="BA130" s="187"/>
      <c r="BB130" s="187"/>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81" t="s">
        <v>18</v>
      </c>
      <c r="E135" s="181"/>
      <c r="F135" s="181"/>
      <c r="G135" s="181"/>
      <c r="H135" s="181"/>
      <c r="I135" s="181"/>
      <c r="J135" s="181"/>
      <c r="K135" s="181"/>
      <c r="L135" s="181"/>
      <c r="M135" s="181"/>
      <c r="N135" s="97" t="str">
        <f>IF([2]回答表!F17="下水道事業",IF([2]回答表!X43="○","○",""),"")</f>
        <v/>
      </c>
      <c r="O135" s="98"/>
      <c r="P135" s="98"/>
      <c r="Q135" s="99"/>
      <c r="R135" s="39"/>
      <c r="S135" s="39"/>
      <c r="T135" s="39"/>
      <c r="U135" s="188" t="s">
        <v>49</v>
      </c>
      <c r="V135" s="189"/>
      <c r="W135" s="189"/>
      <c r="X135" s="189"/>
      <c r="Y135" s="189"/>
      <c r="Z135" s="189"/>
      <c r="AA135" s="189"/>
      <c r="AB135" s="189"/>
      <c r="AC135" s="188" t="s">
        <v>50</v>
      </c>
      <c r="AD135" s="189"/>
      <c r="AE135" s="189"/>
      <c r="AF135" s="189"/>
      <c r="AG135" s="189"/>
      <c r="AH135" s="189"/>
      <c r="AI135" s="189"/>
      <c r="AJ135" s="198"/>
      <c r="AK135" s="50"/>
      <c r="AL135" s="50"/>
      <c r="AM135" s="203" t="str">
        <f>IF([2]回答表!F17="下水道事業",IF([2]回答表!X43="○",[2]回答表!B154,IF([2]回答表!AA43="○",[2]回答表!B201,"")),"")</f>
        <v>　真中地区農業集落排水施設の終末処理場の老朽化に伴い大館処理区の終末処理場へ接続管等を整備する。現在の同等施設の更新建設事業費と大館処理区終末処理場への接続管渠等の整備事業と比較すると220,000千円の削減が見込まれるほか、維持管理費等も年間6,000千円の削減が見込まれる。</v>
      </c>
      <c r="AN135" s="204"/>
      <c r="AO135" s="204"/>
      <c r="AP135" s="204"/>
      <c r="AQ135" s="204"/>
      <c r="AR135" s="204"/>
      <c r="AS135" s="204"/>
      <c r="AT135" s="204"/>
      <c r="AU135" s="204"/>
      <c r="AV135" s="204"/>
      <c r="AW135" s="204"/>
      <c r="AX135" s="204"/>
      <c r="AY135" s="204"/>
      <c r="AZ135" s="204"/>
      <c r="BA135" s="204"/>
      <c r="BB135" s="205"/>
      <c r="BC135" s="40"/>
      <c r="BD135" s="35"/>
      <c r="BE135" s="115" t="str">
        <f>IF([2]回答表!F17="下水道事業",IF([2]回答表!X43="○",[2]回答表!B190,IF([2]回答表!AA43="○",[2]回答表!B238,"")),"")</f>
        <v>令和</v>
      </c>
      <c r="BF135" s="116"/>
      <c r="BG135" s="116"/>
      <c r="BH135" s="116"/>
      <c r="BI135" s="115"/>
      <c r="BJ135" s="116"/>
      <c r="BK135" s="116"/>
      <c r="BL135" s="116"/>
      <c r="BM135" s="115"/>
      <c r="BN135" s="116"/>
      <c r="BO135" s="116"/>
      <c r="BP135" s="117"/>
      <c r="BQ135" s="38"/>
    </row>
    <row r="136" spans="3:69" ht="19.350000000000001" customHeight="1" x14ac:dyDescent="0.4">
      <c r="C136" s="33"/>
      <c r="D136" s="181"/>
      <c r="E136" s="181"/>
      <c r="F136" s="181"/>
      <c r="G136" s="181"/>
      <c r="H136" s="181"/>
      <c r="I136" s="181"/>
      <c r="J136" s="181"/>
      <c r="K136" s="181"/>
      <c r="L136" s="181"/>
      <c r="M136" s="181"/>
      <c r="N136" s="100"/>
      <c r="O136" s="101"/>
      <c r="P136" s="101"/>
      <c r="Q136" s="102"/>
      <c r="R136" s="39"/>
      <c r="S136" s="39"/>
      <c r="T136" s="39"/>
      <c r="U136" s="190"/>
      <c r="V136" s="191"/>
      <c r="W136" s="191"/>
      <c r="X136" s="191"/>
      <c r="Y136" s="191"/>
      <c r="Z136" s="191"/>
      <c r="AA136" s="191"/>
      <c r="AB136" s="191"/>
      <c r="AC136" s="190"/>
      <c r="AD136" s="191"/>
      <c r="AE136" s="191"/>
      <c r="AF136" s="191"/>
      <c r="AG136" s="191"/>
      <c r="AH136" s="191"/>
      <c r="AI136" s="191"/>
      <c r="AJ136" s="199"/>
      <c r="AK136" s="50"/>
      <c r="AL136" s="50"/>
      <c r="AM136" s="206"/>
      <c r="AN136" s="207"/>
      <c r="AO136" s="207"/>
      <c r="AP136" s="207"/>
      <c r="AQ136" s="207"/>
      <c r="AR136" s="207"/>
      <c r="AS136" s="207"/>
      <c r="AT136" s="207"/>
      <c r="AU136" s="207"/>
      <c r="AV136" s="207"/>
      <c r="AW136" s="207"/>
      <c r="AX136" s="207"/>
      <c r="AY136" s="207"/>
      <c r="AZ136" s="207"/>
      <c r="BA136" s="207"/>
      <c r="BB136" s="208"/>
      <c r="BC136" s="40"/>
      <c r="BD136" s="35"/>
      <c r="BE136" s="82"/>
      <c r="BF136" s="83"/>
      <c r="BG136" s="83"/>
      <c r="BH136" s="83"/>
      <c r="BI136" s="82"/>
      <c r="BJ136" s="83"/>
      <c r="BK136" s="83"/>
      <c r="BL136" s="83"/>
      <c r="BM136" s="82"/>
      <c r="BN136" s="83"/>
      <c r="BO136" s="83"/>
      <c r="BP136" s="86"/>
      <c r="BQ136" s="38"/>
    </row>
    <row r="137" spans="3:69" ht="15.6" customHeight="1" x14ac:dyDescent="0.4">
      <c r="C137" s="33"/>
      <c r="D137" s="181"/>
      <c r="E137" s="181"/>
      <c r="F137" s="181"/>
      <c r="G137" s="181"/>
      <c r="H137" s="181"/>
      <c r="I137" s="181"/>
      <c r="J137" s="181"/>
      <c r="K137" s="181"/>
      <c r="L137" s="181"/>
      <c r="M137" s="181"/>
      <c r="N137" s="100"/>
      <c r="O137" s="101"/>
      <c r="P137" s="101"/>
      <c r="Q137" s="102"/>
      <c r="R137" s="39"/>
      <c r="S137" s="39"/>
      <c r="T137" s="39"/>
      <c r="U137" s="118" t="str">
        <f>IF([2]回答表!F17="下水道事業",IF([2]回答表!X43="○",[2]回答表!Y184,IF([2]回答表!AA43="○",[2]回答表!Y232,"")),"")</f>
        <v>○</v>
      </c>
      <c r="V137" s="119"/>
      <c r="W137" s="119"/>
      <c r="X137" s="119"/>
      <c r="Y137" s="119"/>
      <c r="Z137" s="119"/>
      <c r="AA137" s="119"/>
      <c r="AB137" s="120"/>
      <c r="AC137" s="118">
        <f>IF([2]回答表!F17="下水道事業",IF([2]回答表!X43="○",[2]回答表!Y185,IF([2]回答表!AA43="○",[2]回答表!Y233,"")),"")</f>
        <v>0</v>
      </c>
      <c r="AD137" s="119"/>
      <c r="AE137" s="119"/>
      <c r="AF137" s="119"/>
      <c r="AG137" s="119"/>
      <c r="AH137" s="119"/>
      <c r="AI137" s="119"/>
      <c r="AJ137" s="120"/>
      <c r="AK137" s="50"/>
      <c r="AL137" s="50"/>
      <c r="AM137" s="206"/>
      <c r="AN137" s="207"/>
      <c r="AO137" s="207"/>
      <c r="AP137" s="207"/>
      <c r="AQ137" s="207"/>
      <c r="AR137" s="207"/>
      <c r="AS137" s="207"/>
      <c r="AT137" s="207"/>
      <c r="AU137" s="207"/>
      <c r="AV137" s="207"/>
      <c r="AW137" s="207"/>
      <c r="AX137" s="207"/>
      <c r="AY137" s="207"/>
      <c r="AZ137" s="207"/>
      <c r="BA137" s="207"/>
      <c r="BB137" s="208"/>
      <c r="BC137" s="40"/>
      <c r="BD137" s="35"/>
      <c r="BE137" s="82"/>
      <c r="BF137" s="83"/>
      <c r="BG137" s="83"/>
      <c r="BH137" s="83"/>
      <c r="BI137" s="82"/>
      <c r="BJ137" s="83"/>
      <c r="BK137" s="83"/>
      <c r="BL137" s="83"/>
      <c r="BM137" s="82"/>
      <c r="BN137" s="83"/>
      <c r="BO137" s="83"/>
      <c r="BP137" s="86"/>
      <c r="BQ137" s="38"/>
    </row>
    <row r="138" spans="3:69" ht="15.6" customHeight="1" x14ac:dyDescent="0.4">
      <c r="C138" s="33"/>
      <c r="D138" s="181"/>
      <c r="E138" s="181"/>
      <c r="F138" s="181"/>
      <c r="G138" s="181"/>
      <c r="H138" s="181"/>
      <c r="I138" s="181"/>
      <c r="J138" s="181"/>
      <c r="K138" s="181"/>
      <c r="L138" s="181"/>
      <c r="M138" s="181"/>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206"/>
      <c r="AN138" s="207"/>
      <c r="AO138" s="207"/>
      <c r="AP138" s="207"/>
      <c r="AQ138" s="207"/>
      <c r="AR138" s="207"/>
      <c r="AS138" s="207"/>
      <c r="AT138" s="207"/>
      <c r="AU138" s="207"/>
      <c r="AV138" s="207"/>
      <c r="AW138" s="207"/>
      <c r="AX138" s="207"/>
      <c r="AY138" s="207"/>
      <c r="AZ138" s="207"/>
      <c r="BA138" s="207"/>
      <c r="BB138" s="208"/>
      <c r="BC138" s="40"/>
      <c r="BD138" s="35"/>
      <c r="BE138" s="82">
        <f>IF([2]回答表!F17="下水道事業",IF([2]回答表!X43="○",[2]回答表!E190,IF([2]回答表!AA43="○",[2]回答表!E238,"")),"")</f>
        <v>2</v>
      </c>
      <c r="BF138" s="83"/>
      <c r="BG138" s="83"/>
      <c r="BH138" s="83"/>
      <c r="BI138" s="82">
        <f>IF([2]回答表!F17="下水道事業",IF([2]回答表!X43="○",[2]回答表!E191,IF([2]回答表!AA43="○",[2]回答表!E239,"")),"")</f>
        <v>0</v>
      </c>
      <c r="BJ138" s="83"/>
      <c r="BK138" s="83"/>
      <c r="BL138" s="83"/>
      <c r="BM138" s="82" t="str">
        <f>IF([2]回答表!F17="下水道事業",IF([2]回答表!X43="○",[2]回答表!E192,IF([2]回答表!AA43="○",[2]回答表!E240,"")),"")</f>
        <v xml:space="preserve"> </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206"/>
      <c r="AN139" s="207"/>
      <c r="AO139" s="207"/>
      <c r="AP139" s="207"/>
      <c r="AQ139" s="207"/>
      <c r="AR139" s="207"/>
      <c r="AS139" s="207"/>
      <c r="AT139" s="207"/>
      <c r="AU139" s="207"/>
      <c r="AV139" s="207"/>
      <c r="AW139" s="207"/>
      <c r="AX139" s="207"/>
      <c r="AY139" s="207"/>
      <c r="AZ139" s="207"/>
      <c r="BA139" s="207"/>
      <c r="BB139" s="208"/>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88" t="s">
        <v>51</v>
      </c>
      <c r="V140" s="189"/>
      <c r="W140" s="189"/>
      <c r="X140" s="189"/>
      <c r="Y140" s="189"/>
      <c r="Z140" s="189"/>
      <c r="AA140" s="189"/>
      <c r="AB140" s="189"/>
      <c r="AC140" s="192" t="s">
        <v>52</v>
      </c>
      <c r="AD140" s="193"/>
      <c r="AE140" s="193"/>
      <c r="AF140" s="193"/>
      <c r="AG140" s="193"/>
      <c r="AH140" s="193"/>
      <c r="AI140" s="193"/>
      <c r="AJ140" s="194"/>
      <c r="AK140" s="50"/>
      <c r="AL140" s="50"/>
      <c r="AM140" s="206"/>
      <c r="AN140" s="207"/>
      <c r="AO140" s="207"/>
      <c r="AP140" s="207"/>
      <c r="AQ140" s="207"/>
      <c r="AR140" s="207"/>
      <c r="AS140" s="207"/>
      <c r="AT140" s="207"/>
      <c r="AU140" s="207"/>
      <c r="AV140" s="207"/>
      <c r="AW140" s="207"/>
      <c r="AX140" s="207"/>
      <c r="AY140" s="207"/>
      <c r="AZ140" s="207"/>
      <c r="BA140" s="207"/>
      <c r="BB140" s="208"/>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86" t="s">
        <v>26</v>
      </c>
      <c r="E141" s="181"/>
      <c r="F141" s="181"/>
      <c r="G141" s="181"/>
      <c r="H141" s="181"/>
      <c r="I141" s="181"/>
      <c r="J141" s="181"/>
      <c r="K141" s="181"/>
      <c r="L141" s="181"/>
      <c r="M141" s="182"/>
      <c r="N141" s="97" t="str">
        <f>IF([2]回答表!F17="下水道事業",IF([2]回答表!AA43="○","○",""),"")</f>
        <v>○</v>
      </c>
      <c r="O141" s="98"/>
      <c r="P141" s="98"/>
      <c r="Q141" s="99"/>
      <c r="R141" s="39"/>
      <c r="S141" s="39"/>
      <c r="T141" s="39"/>
      <c r="U141" s="190"/>
      <c r="V141" s="191"/>
      <c r="W141" s="191"/>
      <c r="X141" s="191"/>
      <c r="Y141" s="191"/>
      <c r="Z141" s="191"/>
      <c r="AA141" s="191"/>
      <c r="AB141" s="191"/>
      <c r="AC141" s="195"/>
      <c r="AD141" s="196"/>
      <c r="AE141" s="196"/>
      <c r="AF141" s="196"/>
      <c r="AG141" s="196"/>
      <c r="AH141" s="196"/>
      <c r="AI141" s="196"/>
      <c r="AJ141" s="197"/>
      <c r="AK141" s="50"/>
      <c r="AL141" s="50"/>
      <c r="AM141" s="206"/>
      <c r="AN141" s="207"/>
      <c r="AO141" s="207"/>
      <c r="AP141" s="207"/>
      <c r="AQ141" s="207"/>
      <c r="AR141" s="207"/>
      <c r="AS141" s="207"/>
      <c r="AT141" s="207"/>
      <c r="AU141" s="207"/>
      <c r="AV141" s="207"/>
      <c r="AW141" s="207"/>
      <c r="AX141" s="207"/>
      <c r="AY141" s="207"/>
      <c r="AZ141" s="207"/>
      <c r="BA141" s="207"/>
      <c r="BB141" s="208"/>
      <c r="BC141" s="40"/>
      <c r="BD141" s="54"/>
      <c r="BE141" s="82"/>
      <c r="BF141" s="83"/>
      <c r="BG141" s="83"/>
      <c r="BH141" s="83"/>
      <c r="BI141" s="82"/>
      <c r="BJ141" s="83"/>
      <c r="BK141" s="83"/>
      <c r="BL141" s="83"/>
      <c r="BM141" s="82"/>
      <c r="BN141" s="83"/>
      <c r="BO141" s="83"/>
      <c r="BP141" s="86"/>
      <c r="BQ141" s="38"/>
    </row>
    <row r="142" spans="3:69" ht="15.6" customHeight="1" x14ac:dyDescent="0.4">
      <c r="C142" s="33"/>
      <c r="D142" s="181"/>
      <c r="E142" s="181"/>
      <c r="F142" s="181"/>
      <c r="G142" s="181"/>
      <c r="H142" s="181"/>
      <c r="I142" s="181"/>
      <c r="J142" s="181"/>
      <c r="K142" s="181"/>
      <c r="L142" s="181"/>
      <c r="M142" s="182"/>
      <c r="N142" s="100"/>
      <c r="O142" s="101"/>
      <c r="P142" s="101"/>
      <c r="Q142" s="102"/>
      <c r="R142" s="39"/>
      <c r="S142" s="39"/>
      <c r="T142" s="39"/>
      <c r="U142" s="118">
        <f>IF([2]回答表!F17="下水道事業",IF([2]回答表!X43="○",[2]回答表!Y186,IF([2]回答表!AA43="○",[2]回答表!Y234,"")),"")</f>
        <v>0</v>
      </c>
      <c r="V142" s="119"/>
      <c r="W142" s="119"/>
      <c r="X142" s="119"/>
      <c r="Y142" s="119"/>
      <c r="Z142" s="119"/>
      <c r="AA142" s="119"/>
      <c r="AB142" s="120"/>
      <c r="AC142" s="118">
        <f>IF([2]回答表!F17="下水道事業",IF([2]回答表!X43="○",[2]回答表!Y187,IF([2]回答表!AA43="○",[2]回答表!Y235,"")),"")</f>
        <v>0</v>
      </c>
      <c r="AD142" s="119"/>
      <c r="AE142" s="119"/>
      <c r="AF142" s="119"/>
      <c r="AG142" s="119"/>
      <c r="AH142" s="119"/>
      <c r="AI142" s="119"/>
      <c r="AJ142" s="120"/>
      <c r="AK142" s="50"/>
      <c r="AL142" s="50"/>
      <c r="AM142" s="206"/>
      <c r="AN142" s="207"/>
      <c r="AO142" s="207"/>
      <c r="AP142" s="207"/>
      <c r="AQ142" s="207"/>
      <c r="AR142" s="207"/>
      <c r="AS142" s="207"/>
      <c r="AT142" s="207"/>
      <c r="AU142" s="207"/>
      <c r="AV142" s="207"/>
      <c r="AW142" s="207"/>
      <c r="AX142" s="207"/>
      <c r="AY142" s="207"/>
      <c r="AZ142" s="207"/>
      <c r="BA142" s="207"/>
      <c r="BB142" s="208"/>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81"/>
      <c r="E143" s="181"/>
      <c r="F143" s="181"/>
      <c r="G143" s="181"/>
      <c r="H143" s="181"/>
      <c r="I143" s="181"/>
      <c r="J143" s="181"/>
      <c r="K143" s="181"/>
      <c r="L143" s="181"/>
      <c r="M143" s="182"/>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206"/>
      <c r="AN143" s="207"/>
      <c r="AO143" s="207"/>
      <c r="AP143" s="207"/>
      <c r="AQ143" s="207"/>
      <c r="AR143" s="207"/>
      <c r="AS143" s="207"/>
      <c r="AT143" s="207"/>
      <c r="AU143" s="207"/>
      <c r="AV143" s="207"/>
      <c r="AW143" s="207"/>
      <c r="AX143" s="207"/>
      <c r="AY143" s="207"/>
      <c r="AZ143" s="207"/>
      <c r="BA143" s="207"/>
      <c r="BB143" s="208"/>
      <c r="BC143" s="40"/>
      <c r="BD143" s="54"/>
      <c r="BE143" s="82"/>
      <c r="BF143" s="83"/>
      <c r="BG143" s="83"/>
      <c r="BH143" s="83"/>
      <c r="BI143" s="82"/>
      <c r="BJ143" s="83"/>
      <c r="BK143" s="83"/>
      <c r="BL143" s="83"/>
      <c r="BM143" s="82"/>
      <c r="BN143" s="83"/>
      <c r="BO143" s="83"/>
      <c r="BP143" s="86"/>
      <c r="BQ143" s="38"/>
    </row>
    <row r="144" spans="3:69" ht="15.6" customHeight="1" x14ac:dyDescent="0.4">
      <c r="C144" s="33"/>
      <c r="D144" s="181"/>
      <c r="E144" s="181"/>
      <c r="F144" s="181"/>
      <c r="G144" s="181"/>
      <c r="H144" s="181"/>
      <c r="I144" s="181"/>
      <c r="J144" s="181"/>
      <c r="K144" s="181"/>
      <c r="L144" s="181"/>
      <c r="M144" s="182"/>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209"/>
      <c r="AN144" s="210"/>
      <c r="AO144" s="210"/>
      <c r="AP144" s="210"/>
      <c r="AQ144" s="210"/>
      <c r="AR144" s="210"/>
      <c r="AS144" s="210"/>
      <c r="AT144" s="210"/>
      <c r="AU144" s="210"/>
      <c r="AV144" s="210"/>
      <c r="AW144" s="210"/>
      <c r="AX144" s="210"/>
      <c r="AY144" s="210"/>
      <c r="AZ144" s="210"/>
      <c r="BA144" s="210"/>
      <c r="BB144" s="211"/>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81" t="s">
        <v>34</v>
      </c>
      <c r="E147" s="181"/>
      <c r="F147" s="181"/>
      <c r="G147" s="181"/>
      <c r="H147" s="181"/>
      <c r="I147" s="181"/>
      <c r="J147" s="181"/>
      <c r="K147" s="181"/>
      <c r="L147" s="181"/>
      <c r="M147" s="182"/>
      <c r="N147" s="97" t="str">
        <f>IF([2]回答表!F17="下水道事業",IF([2]回答表!AD43="○","○",""),"")</f>
        <v/>
      </c>
      <c r="O147" s="98"/>
      <c r="P147" s="98"/>
      <c r="Q147" s="99"/>
      <c r="R147" s="39"/>
      <c r="S147" s="39"/>
      <c r="T147" s="39"/>
      <c r="U147" s="106" t="str">
        <f>IF([2]回答表!F17="下水道事業",IF([2]回答表!AD43="○",[2]回答表!B249,""),"")</f>
        <v/>
      </c>
      <c r="V147" s="107"/>
      <c r="W147" s="107"/>
      <c r="X147" s="107"/>
      <c r="Y147" s="107"/>
      <c r="Z147" s="107"/>
      <c r="AA147" s="107"/>
      <c r="AB147" s="107"/>
      <c r="AC147" s="107"/>
      <c r="AD147" s="107"/>
      <c r="AE147" s="107"/>
      <c r="AF147" s="107"/>
      <c r="AG147" s="107"/>
      <c r="AH147" s="107"/>
      <c r="AI147" s="107"/>
      <c r="AJ147" s="108"/>
      <c r="AK147" s="56"/>
      <c r="AL147" s="56"/>
      <c r="AM147" s="106" t="str">
        <f>IF([2]回答表!F17="下水道事業",IF([2]回答表!AD43="○",[2]回答表!B255,""),"")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81"/>
      <c r="E148" s="181"/>
      <c r="F148" s="181"/>
      <c r="G148" s="181"/>
      <c r="H148" s="181"/>
      <c r="I148" s="181"/>
      <c r="J148" s="181"/>
      <c r="K148" s="181"/>
      <c r="L148" s="181"/>
      <c r="M148" s="182"/>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81"/>
      <c r="E149" s="181"/>
      <c r="F149" s="181"/>
      <c r="G149" s="181"/>
      <c r="H149" s="181"/>
      <c r="I149" s="181"/>
      <c r="J149" s="181"/>
      <c r="K149" s="181"/>
      <c r="L149" s="181"/>
      <c r="M149" s="182"/>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81"/>
      <c r="E150" s="181"/>
      <c r="F150" s="181"/>
      <c r="G150" s="181"/>
      <c r="H150" s="181"/>
      <c r="I150" s="181"/>
      <c r="J150" s="181"/>
      <c r="K150" s="181"/>
      <c r="L150" s="181"/>
      <c r="M150" s="182"/>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62"/>
      <c r="AS153" s="162"/>
      <c r="AT153" s="162"/>
      <c r="AU153" s="162"/>
      <c r="AV153" s="162"/>
      <c r="AW153" s="162"/>
      <c r="AX153" s="162"/>
      <c r="AY153" s="162"/>
      <c r="AZ153" s="162"/>
      <c r="BA153" s="162"/>
      <c r="BB153" s="162"/>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87"/>
      <c r="AS154" s="187"/>
      <c r="AT154" s="187"/>
      <c r="AU154" s="187"/>
      <c r="AV154" s="187"/>
      <c r="AW154" s="187"/>
      <c r="AX154" s="187"/>
      <c r="AY154" s="187"/>
      <c r="AZ154" s="187"/>
      <c r="BA154" s="187"/>
      <c r="BB154" s="187"/>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81" t="s">
        <v>18</v>
      </c>
      <c r="E159" s="181"/>
      <c r="F159" s="181"/>
      <c r="G159" s="181"/>
      <c r="H159" s="181"/>
      <c r="I159" s="181"/>
      <c r="J159" s="181"/>
      <c r="K159" s="181"/>
      <c r="L159" s="181"/>
      <c r="M159" s="181"/>
      <c r="N159" s="97" t="str">
        <f>IF([2]回答表!BD17="○",IF([2]回答表!X43="○","○",""),"")</f>
        <v/>
      </c>
      <c r="O159" s="98"/>
      <c r="P159" s="98"/>
      <c r="Q159" s="99"/>
      <c r="R159" s="39"/>
      <c r="S159" s="39"/>
      <c r="T159" s="39"/>
      <c r="U159" s="106" t="str">
        <f>IF([2]回答表!BD17="○",IF([2]回答表!X43="○",[2]回答表!B154,IF([2]回答表!AA43="○",[2]回答表!B201,"")),"")</f>
        <v/>
      </c>
      <c r="V159" s="107"/>
      <c r="W159" s="107"/>
      <c r="X159" s="107"/>
      <c r="Y159" s="107"/>
      <c r="Z159" s="107"/>
      <c r="AA159" s="107"/>
      <c r="AB159" s="107"/>
      <c r="AC159" s="107"/>
      <c r="AD159" s="107"/>
      <c r="AE159" s="107"/>
      <c r="AF159" s="107"/>
      <c r="AG159" s="107"/>
      <c r="AH159" s="107"/>
      <c r="AI159" s="107"/>
      <c r="AJ159" s="108"/>
      <c r="AK159" s="50"/>
      <c r="AL159" s="50"/>
      <c r="AM159" s="115" t="str">
        <f>IF([2]回答表!BD17="○",IF([2]回答表!X43="○",[2]回答表!B190,IF([2]回答表!AA43="○",[2]回答表!B238,"")),"")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81"/>
      <c r="E160" s="181"/>
      <c r="F160" s="181"/>
      <c r="G160" s="181"/>
      <c r="H160" s="181"/>
      <c r="I160" s="181"/>
      <c r="J160" s="181"/>
      <c r="K160" s="181"/>
      <c r="L160" s="181"/>
      <c r="M160" s="181"/>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81"/>
      <c r="E161" s="181"/>
      <c r="F161" s="181"/>
      <c r="G161" s="181"/>
      <c r="H161" s="181"/>
      <c r="I161" s="181"/>
      <c r="J161" s="181"/>
      <c r="K161" s="181"/>
      <c r="L161" s="181"/>
      <c r="M161" s="181"/>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81"/>
      <c r="E162" s="181"/>
      <c r="F162" s="181"/>
      <c r="G162" s="181"/>
      <c r="H162" s="181"/>
      <c r="I162" s="181"/>
      <c r="J162" s="181"/>
      <c r="K162" s="181"/>
      <c r="L162" s="181"/>
      <c r="M162" s="181"/>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IF([2]回答表!BD17="○",IF([2]回答表!X43="○",[2]回答表!E190,IF([2]回答表!AA43="○",[2]回答表!E238,"")),"")</f>
        <v/>
      </c>
      <c r="AN162" s="83"/>
      <c r="AO162" s="83"/>
      <c r="AP162" s="83"/>
      <c r="AQ162" s="82" t="str">
        <f>IF([2]回答表!BD17="○",IF([2]回答表!X43="○",[2]回答表!E191,IF([2]回答表!AA43="○",[2]回答表!E239,"")),"")</f>
        <v/>
      </c>
      <c r="AR162" s="83"/>
      <c r="AS162" s="83"/>
      <c r="AT162" s="83"/>
      <c r="AU162" s="82" t="str">
        <f>IF([2]回答表!BD17="○",IF([2]回答表!X43="○",[2]回答表!E192,IF([2]回答表!AA43="○",[2]回答表!E240,"")),"")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86" t="s">
        <v>26</v>
      </c>
      <c r="E165" s="181"/>
      <c r="F165" s="181"/>
      <c r="G165" s="181"/>
      <c r="H165" s="181"/>
      <c r="I165" s="181"/>
      <c r="J165" s="181"/>
      <c r="K165" s="181"/>
      <c r="L165" s="181"/>
      <c r="M165" s="182"/>
      <c r="N165" s="97" t="str">
        <f>IF([2]回答表!BD17="○",IF([2]回答表!AA43="○","○",""),"")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81"/>
      <c r="E166" s="181"/>
      <c r="F166" s="181"/>
      <c r="G166" s="181"/>
      <c r="H166" s="181"/>
      <c r="I166" s="181"/>
      <c r="J166" s="181"/>
      <c r="K166" s="181"/>
      <c r="L166" s="181"/>
      <c r="M166" s="182"/>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81"/>
      <c r="E167" s="181"/>
      <c r="F167" s="181"/>
      <c r="G167" s="181"/>
      <c r="H167" s="181"/>
      <c r="I167" s="181"/>
      <c r="J167" s="181"/>
      <c r="K167" s="181"/>
      <c r="L167" s="181"/>
      <c r="M167" s="182"/>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81"/>
      <c r="E168" s="181"/>
      <c r="F168" s="181"/>
      <c r="G168" s="181"/>
      <c r="H168" s="181"/>
      <c r="I168" s="181"/>
      <c r="J168" s="181"/>
      <c r="K168" s="181"/>
      <c r="L168" s="181"/>
      <c r="M168" s="182"/>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81" t="s">
        <v>34</v>
      </c>
      <c r="E171" s="181"/>
      <c r="F171" s="181"/>
      <c r="G171" s="181"/>
      <c r="H171" s="181"/>
      <c r="I171" s="181"/>
      <c r="J171" s="181"/>
      <c r="K171" s="181"/>
      <c r="L171" s="181"/>
      <c r="M171" s="182"/>
      <c r="N171" s="97" t="str">
        <f>IF([2]回答表!BD17="○",IF([2]回答表!AD43="○","○",""),"")</f>
        <v/>
      </c>
      <c r="O171" s="98"/>
      <c r="P171" s="98"/>
      <c r="Q171" s="99"/>
      <c r="R171" s="39"/>
      <c r="S171" s="39"/>
      <c r="T171" s="39"/>
      <c r="U171" s="106" t="str">
        <f>IF([2]回答表!BD17="○",IF([2]回答表!AD43="○",[2]回答表!B249,""),"")</f>
        <v/>
      </c>
      <c r="V171" s="107"/>
      <c r="W171" s="107"/>
      <c r="X171" s="107"/>
      <c r="Y171" s="107"/>
      <c r="Z171" s="107"/>
      <c r="AA171" s="107"/>
      <c r="AB171" s="107"/>
      <c r="AC171" s="107"/>
      <c r="AD171" s="107"/>
      <c r="AE171" s="107"/>
      <c r="AF171" s="107"/>
      <c r="AG171" s="107"/>
      <c r="AH171" s="107"/>
      <c r="AI171" s="107"/>
      <c r="AJ171" s="108"/>
      <c r="AK171" s="56"/>
      <c r="AL171" s="56"/>
      <c r="AM171" s="106" t="str">
        <f>IF([2]回答表!BD17="○",IF([2]回答表!AD43="○",[2]回答表!B255,""),"")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81"/>
      <c r="E172" s="181"/>
      <c r="F172" s="181"/>
      <c r="G172" s="181"/>
      <c r="H172" s="181"/>
      <c r="I172" s="181"/>
      <c r="J172" s="181"/>
      <c r="K172" s="181"/>
      <c r="L172" s="181"/>
      <c r="M172" s="182"/>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81"/>
      <c r="E173" s="181"/>
      <c r="F173" s="181"/>
      <c r="G173" s="181"/>
      <c r="H173" s="181"/>
      <c r="I173" s="181"/>
      <c r="J173" s="181"/>
      <c r="K173" s="181"/>
      <c r="L173" s="181"/>
      <c r="M173" s="182"/>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81"/>
      <c r="E174" s="181"/>
      <c r="F174" s="181"/>
      <c r="G174" s="181"/>
      <c r="H174" s="181"/>
      <c r="I174" s="181"/>
      <c r="J174" s="181"/>
      <c r="K174" s="181"/>
      <c r="L174" s="181"/>
      <c r="M174" s="182"/>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62"/>
      <c r="AS177" s="162"/>
      <c r="AT177" s="162"/>
      <c r="AU177" s="162"/>
      <c r="AV177" s="162"/>
      <c r="AW177" s="162"/>
      <c r="AX177" s="162"/>
      <c r="AY177" s="162"/>
      <c r="AZ177" s="162"/>
      <c r="BA177" s="162"/>
      <c r="BB177" s="162"/>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87"/>
      <c r="AS178" s="187"/>
      <c r="AT178" s="187"/>
      <c r="AU178" s="187"/>
      <c r="AV178" s="187"/>
      <c r="AW178" s="187"/>
      <c r="AX178" s="187"/>
      <c r="AY178" s="187"/>
      <c r="AZ178" s="187"/>
      <c r="BA178" s="187"/>
      <c r="BB178" s="187"/>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81" t="s">
        <v>18</v>
      </c>
      <c r="E183" s="181"/>
      <c r="F183" s="181"/>
      <c r="G183" s="181"/>
      <c r="H183" s="181"/>
      <c r="I183" s="181"/>
      <c r="J183" s="181"/>
      <c r="K183" s="181"/>
      <c r="L183" s="181"/>
      <c r="M183" s="181"/>
      <c r="N183" s="97" t="str">
        <f>IF([2]回答表!X44="○","○","")</f>
        <v/>
      </c>
      <c r="O183" s="98"/>
      <c r="P183" s="98"/>
      <c r="Q183" s="99"/>
      <c r="R183" s="39"/>
      <c r="S183" s="39"/>
      <c r="T183" s="39"/>
      <c r="U183" s="106" t="str">
        <f>IF([2]回答表!X44="○",[2]回答表!B266,IF([2]回答表!AA44="○",[2]回答表!B283,""))</f>
        <v/>
      </c>
      <c r="V183" s="107"/>
      <c r="W183" s="107"/>
      <c r="X183" s="107"/>
      <c r="Y183" s="107"/>
      <c r="Z183" s="107"/>
      <c r="AA183" s="107"/>
      <c r="AB183" s="107"/>
      <c r="AC183" s="107"/>
      <c r="AD183" s="107"/>
      <c r="AE183" s="107"/>
      <c r="AF183" s="107"/>
      <c r="AG183" s="107"/>
      <c r="AH183" s="107"/>
      <c r="AI183" s="107"/>
      <c r="AJ183" s="108"/>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IF([2]回答表!X44="○",[2]回答表!U272,IF([2]回答表!AA44="○",[2]回答表!U289,""))</f>
        <v/>
      </c>
      <c r="BF183" s="116"/>
      <c r="BG183" s="116"/>
      <c r="BH183" s="116"/>
      <c r="BI183" s="115"/>
      <c r="BJ183" s="116"/>
      <c r="BK183" s="116"/>
      <c r="BL183" s="116"/>
      <c r="BM183" s="115"/>
      <c r="BN183" s="116"/>
      <c r="BO183" s="116"/>
      <c r="BP183" s="117"/>
      <c r="BQ183" s="38"/>
      <c r="BR183" s="25"/>
    </row>
    <row r="184" spans="3:70" ht="15.6" customHeight="1" x14ac:dyDescent="0.4">
      <c r="C184" s="33"/>
      <c r="D184" s="181"/>
      <c r="E184" s="181"/>
      <c r="F184" s="181"/>
      <c r="G184" s="181"/>
      <c r="H184" s="181"/>
      <c r="I184" s="181"/>
      <c r="J184" s="181"/>
      <c r="K184" s="181"/>
      <c r="L184" s="181"/>
      <c r="M184" s="181"/>
      <c r="N184" s="100"/>
      <c r="O184" s="101"/>
      <c r="P184" s="101"/>
      <c r="Q184" s="102"/>
      <c r="R184" s="39"/>
      <c r="S184" s="39"/>
      <c r="T184" s="39"/>
      <c r="U184" s="109"/>
      <c r="V184" s="110"/>
      <c r="W184" s="110"/>
      <c r="X184" s="110"/>
      <c r="Y184" s="110"/>
      <c r="Z184" s="110"/>
      <c r="AA184" s="110"/>
      <c r="AB184" s="110"/>
      <c r="AC184" s="110"/>
      <c r="AD184" s="110"/>
      <c r="AE184" s="110"/>
      <c r="AF184" s="110"/>
      <c r="AG184" s="110"/>
      <c r="AH184" s="110"/>
      <c r="AI184" s="110"/>
      <c r="AJ184" s="111"/>
      <c r="AK184" s="50"/>
      <c r="AL184" s="50"/>
      <c r="AM184" s="183"/>
      <c r="AN184" s="184"/>
      <c r="AO184" s="184"/>
      <c r="AP184" s="184"/>
      <c r="AQ184" s="184"/>
      <c r="AR184" s="184"/>
      <c r="AS184" s="184"/>
      <c r="AT184" s="185"/>
      <c r="AU184" s="183"/>
      <c r="AV184" s="184"/>
      <c r="AW184" s="184"/>
      <c r="AX184" s="184"/>
      <c r="AY184" s="184"/>
      <c r="AZ184" s="184"/>
      <c r="BA184" s="184"/>
      <c r="BB184" s="185"/>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81"/>
      <c r="E185" s="181"/>
      <c r="F185" s="181"/>
      <c r="G185" s="181"/>
      <c r="H185" s="181"/>
      <c r="I185" s="181"/>
      <c r="J185" s="181"/>
      <c r="K185" s="181"/>
      <c r="L185" s="181"/>
      <c r="M185" s="181"/>
      <c r="N185" s="100"/>
      <c r="O185" s="101"/>
      <c r="P185" s="101"/>
      <c r="Q185" s="102"/>
      <c r="R185" s="39"/>
      <c r="S185" s="39"/>
      <c r="T185" s="39"/>
      <c r="U185" s="109"/>
      <c r="V185" s="110"/>
      <c r="W185" s="110"/>
      <c r="X185" s="110"/>
      <c r="Y185" s="110"/>
      <c r="Z185" s="110"/>
      <c r="AA185" s="110"/>
      <c r="AB185" s="110"/>
      <c r="AC185" s="110"/>
      <c r="AD185" s="110"/>
      <c r="AE185" s="110"/>
      <c r="AF185" s="110"/>
      <c r="AG185" s="110"/>
      <c r="AH185" s="110"/>
      <c r="AI185" s="110"/>
      <c r="AJ185" s="111"/>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81"/>
      <c r="E186" s="181"/>
      <c r="F186" s="181"/>
      <c r="G186" s="181"/>
      <c r="H186" s="181"/>
      <c r="I186" s="181"/>
      <c r="J186" s="181"/>
      <c r="K186" s="181"/>
      <c r="L186" s="181"/>
      <c r="M186" s="181"/>
      <c r="N186" s="103"/>
      <c r="O186" s="104"/>
      <c r="P186" s="104"/>
      <c r="Q186" s="105"/>
      <c r="R186" s="39"/>
      <c r="S186" s="39"/>
      <c r="T186" s="39"/>
      <c r="U186" s="109"/>
      <c r="V186" s="110"/>
      <c r="W186" s="110"/>
      <c r="X186" s="110"/>
      <c r="Y186" s="110"/>
      <c r="Z186" s="110"/>
      <c r="AA186" s="110"/>
      <c r="AB186" s="110"/>
      <c r="AC186" s="110"/>
      <c r="AD186" s="110"/>
      <c r="AE186" s="110"/>
      <c r="AF186" s="110"/>
      <c r="AG186" s="110"/>
      <c r="AH186" s="110"/>
      <c r="AI186" s="110"/>
      <c r="AJ186" s="111"/>
      <c r="AK186" s="50"/>
      <c r="AL186" s="50"/>
      <c r="AM186" s="118" t="str">
        <f>IF([2]回答表!X44="○",[2]回答表!G272,IF([2]回答表!AA44="○",[2]回答表!G289,""))</f>
        <v/>
      </c>
      <c r="AN186" s="119"/>
      <c r="AO186" s="119"/>
      <c r="AP186" s="119"/>
      <c r="AQ186" s="119"/>
      <c r="AR186" s="119"/>
      <c r="AS186" s="119"/>
      <c r="AT186" s="120"/>
      <c r="AU186" s="118" t="str">
        <f>IF([2]回答表!X44="○",[2]回答表!G273,IF([2]回答表!AA44="○",[2]回答表!G290,""))</f>
        <v/>
      </c>
      <c r="AV186" s="119"/>
      <c r="AW186" s="119"/>
      <c r="AX186" s="119"/>
      <c r="AY186" s="119"/>
      <c r="AZ186" s="119"/>
      <c r="BA186" s="119"/>
      <c r="BB186" s="120"/>
      <c r="BC186" s="40"/>
      <c r="BD186" s="35"/>
      <c r="BE186" s="82" t="str">
        <f>IF([2]回答表!X44="○",[2]回答表!X272,IF([2]回答表!AA44="○",[2]回答表!X289,""))</f>
        <v/>
      </c>
      <c r="BF186" s="83"/>
      <c r="BG186" s="83"/>
      <c r="BH186" s="83"/>
      <c r="BI186" s="82" t="str">
        <f>IF([2]回答表!X44="○",[2]回答表!X273,IF([2]回答表!AA44="○",[2]回答表!X290,""))</f>
        <v/>
      </c>
      <c r="BJ186" s="83"/>
      <c r="BK186" s="83"/>
      <c r="BL186" s="86"/>
      <c r="BM186" s="82" t="str">
        <f>IF([2]回答表!X44="○",[2]回答表!X274,IF([2]回答表!AA44="○",[2]回答表!X291,""))</f>
        <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09"/>
      <c r="V187" s="110"/>
      <c r="W187" s="110"/>
      <c r="X187" s="110"/>
      <c r="Y187" s="110"/>
      <c r="Z187" s="110"/>
      <c r="AA187" s="110"/>
      <c r="AB187" s="110"/>
      <c r="AC187" s="110"/>
      <c r="AD187" s="110"/>
      <c r="AE187" s="110"/>
      <c r="AF187" s="110"/>
      <c r="AG187" s="110"/>
      <c r="AH187" s="110"/>
      <c r="AI187" s="110"/>
      <c r="AJ187" s="111"/>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09"/>
      <c r="V188" s="110"/>
      <c r="W188" s="110"/>
      <c r="X188" s="110"/>
      <c r="Y188" s="110"/>
      <c r="Z188" s="110"/>
      <c r="AA188" s="110"/>
      <c r="AB188" s="110"/>
      <c r="AC188" s="110"/>
      <c r="AD188" s="110"/>
      <c r="AE188" s="110"/>
      <c r="AF188" s="110"/>
      <c r="AG188" s="110"/>
      <c r="AH188" s="110"/>
      <c r="AI188" s="110"/>
      <c r="AJ188" s="111"/>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86" t="s">
        <v>26</v>
      </c>
      <c r="E189" s="181"/>
      <c r="F189" s="181"/>
      <c r="G189" s="181"/>
      <c r="H189" s="181"/>
      <c r="I189" s="181"/>
      <c r="J189" s="181"/>
      <c r="K189" s="181"/>
      <c r="L189" s="181"/>
      <c r="M189" s="182"/>
      <c r="N189" s="97" t="str">
        <f>IF([2]回答表!AA44="○","○","")</f>
        <v/>
      </c>
      <c r="O189" s="98"/>
      <c r="P189" s="98"/>
      <c r="Q189" s="99"/>
      <c r="R189" s="39"/>
      <c r="S189" s="39"/>
      <c r="T189" s="39"/>
      <c r="U189" s="109"/>
      <c r="V189" s="110"/>
      <c r="W189" s="110"/>
      <c r="X189" s="110"/>
      <c r="Y189" s="110"/>
      <c r="Z189" s="110"/>
      <c r="AA189" s="110"/>
      <c r="AB189" s="110"/>
      <c r="AC189" s="110"/>
      <c r="AD189" s="110"/>
      <c r="AE189" s="110"/>
      <c r="AF189" s="110"/>
      <c r="AG189" s="110"/>
      <c r="AH189" s="110"/>
      <c r="AI189" s="110"/>
      <c r="AJ189" s="111"/>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81"/>
      <c r="E190" s="181"/>
      <c r="F190" s="181"/>
      <c r="G190" s="181"/>
      <c r="H190" s="181"/>
      <c r="I190" s="181"/>
      <c r="J190" s="181"/>
      <c r="K190" s="181"/>
      <c r="L190" s="181"/>
      <c r="M190" s="182"/>
      <c r="N190" s="100"/>
      <c r="O190" s="101"/>
      <c r="P190" s="101"/>
      <c r="Q190" s="102"/>
      <c r="R190" s="39"/>
      <c r="S190" s="39"/>
      <c r="T190" s="39"/>
      <c r="U190" s="109"/>
      <c r="V190" s="110"/>
      <c r="W190" s="110"/>
      <c r="X190" s="110"/>
      <c r="Y190" s="110"/>
      <c r="Z190" s="110"/>
      <c r="AA190" s="110"/>
      <c r="AB190" s="110"/>
      <c r="AC190" s="110"/>
      <c r="AD190" s="110"/>
      <c r="AE190" s="110"/>
      <c r="AF190" s="110"/>
      <c r="AG190" s="110"/>
      <c r="AH190" s="110"/>
      <c r="AI190" s="110"/>
      <c r="AJ190" s="111"/>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81"/>
      <c r="E191" s="181"/>
      <c r="F191" s="181"/>
      <c r="G191" s="181"/>
      <c r="H191" s="181"/>
      <c r="I191" s="181"/>
      <c r="J191" s="181"/>
      <c r="K191" s="181"/>
      <c r="L191" s="181"/>
      <c r="M191" s="182"/>
      <c r="N191" s="100"/>
      <c r="O191" s="101"/>
      <c r="P191" s="101"/>
      <c r="Q191" s="102"/>
      <c r="R191" s="39"/>
      <c r="S191" s="39"/>
      <c r="T191" s="39"/>
      <c r="U191" s="109"/>
      <c r="V191" s="110"/>
      <c r="W191" s="110"/>
      <c r="X191" s="110"/>
      <c r="Y191" s="110"/>
      <c r="Z191" s="110"/>
      <c r="AA191" s="110"/>
      <c r="AB191" s="110"/>
      <c r="AC191" s="110"/>
      <c r="AD191" s="110"/>
      <c r="AE191" s="110"/>
      <c r="AF191" s="110"/>
      <c r="AG191" s="110"/>
      <c r="AH191" s="110"/>
      <c r="AI191" s="110"/>
      <c r="AJ191" s="111"/>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81"/>
      <c r="E192" s="181"/>
      <c r="F192" s="181"/>
      <c r="G192" s="181"/>
      <c r="H192" s="181"/>
      <c r="I192" s="181"/>
      <c r="J192" s="181"/>
      <c r="K192" s="181"/>
      <c r="L192" s="181"/>
      <c r="M192" s="182"/>
      <c r="N192" s="103"/>
      <c r="O192" s="104"/>
      <c r="P192" s="104"/>
      <c r="Q192" s="105"/>
      <c r="R192" s="39"/>
      <c r="S192" s="39"/>
      <c r="T192" s="39"/>
      <c r="U192" s="112"/>
      <c r="V192" s="113"/>
      <c r="W192" s="113"/>
      <c r="X192" s="113"/>
      <c r="Y192" s="113"/>
      <c r="Z192" s="113"/>
      <c r="AA192" s="113"/>
      <c r="AB192" s="113"/>
      <c r="AC192" s="113"/>
      <c r="AD192" s="113"/>
      <c r="AE192" s="113"/>
      <c r="AF192" s="113"/>
      <c r="AG192" s="113"/>
      <c r="AH192" s="113"/>
      <c r="AI192" s="113"/>
      <c r="AJ192" s="114"/>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81" t="s">
        <v>34</v>
      </c>
      <c r="E195" s="181"/>
      <c r="F195" s="181"/>
      <c r="G195" s="181"/>
      <c r="H195" s="181"/>
      <c r="I195" s="181"/>
      <c r="J195" s="181"/>
      <c r="K195" s="181"/>
      <c r="L195" s="181"/>
      <c r="M195" s="182"/>
      <c r="N195" s="97" t="str">
        <f>IF([2]回答表!AD44="○","○","")</f>
        <v/>
      </c>
      <c r="O195" s="98"/>
      <c r="P195" s="98"/>
      <c r="Q195" s="99"/>
      <c r="R195" s="39"/>
      <c r="S195" s="39"/>
      <c r="T195" s="39"/>
      <c r="U195" s="106" t="str">
        <f>IF([2]回答表!AD44="○",[2]回答表!B296,"")</f>
        <v/>
      </c>
      <c r="V195" s="107"/>
      <c r="W195" s="107"/>
      <c r="X195" s="107"/>
      <c r="Y195" s="107"/>
      <c r="Z195" s="107"/>
      <c r="AA195" s="107"/>
      <c r="AB195" s="107"/>
      <c r="AC195" s="107"/>
      <c r="AD195" s="107"/>
      <c r="AE195" s="107"/>
      <c r="AF195" s="107"/>
      <c r="AG195" s="107"/>
      <c r="AH195" s="107"/>
      <c r="AI195" s="107"/>
      <c r="AJ195" s="108"/>
      <c r="AK195" s="61"/>
      <c r="AL195" s="61"/>
      <c r="AM195" s="106" t="str">
        <f>IF([2]回答表!AD44="○",[2]回答表!B302,"")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81"/>
      <c r="E196" s="181"/>
      <c r="F196" s="181"/>
      <c r="G196" s="181"/>
      <c r="H196" s="181"/>
      <c r="I196" s="181"/>
      <c r="J196" s="181"/>
      <c r="K196" s="181"/>
      <c r="L196" s="181"/>
      <c r="M196" s="182"/>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81"/>
      <c r="E197" s="181"/>
      <c r="F197" s="181"/>
      <c r="G197" s="181"/>
      <c r="H197" s="181"/>
      <c r="I197" s="181"/>
      <c r="J197" s="181"/>
      <c r="K197" s="181"/>
      <c r="L197" s="181"/>
      <c r="M197" s="182"/>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81"/>
      <c r="E198" s="181"/>
      <c r="F198" s="181"/>
      <c r="G198" s="181"/>
      <c r="H198" s="181"/>
      <c r="I198" s="181"/>
      <c r="J198" s="181"/>
      <c r="K198" s="181"/>
      <c r="L198" s="181"/>
      <c r="M198" s="182"/>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62"/>
      <c r="AS201" s="162"/>
      <c r="AT201" s="162"/>
      <c r="AU201" s="162"/>
      <c r="AV201" s="162"/>
      <c r="AW201" s="162"/>
      <c r="AX201" s="162"/>
      <c r="AY201" s="162"/>
      <c r="AZ201" s="162"/>
      <c r="BA201" s="162"/>
      <c r="BB201" s="162"/>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63"/>
      <c r="AS202" s="163"/>
      <c r="AT202" s="163"/>
      <c r="AU202" s="163"/>
      <c r="AV202" s="163"/>
      <c r="AW202" s="163"/>
      <c r="AX202" s="163"/>
      <c r="AY202" s="163"/>
      <c r="AZ202" s="163"/>
      <c r="BA202" s="163"/>
      <c r="BB202" s="163"/>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IF([2]回答表!X45="○","○","")</f>
        <v/>
      </c>
      <c r="O207" s="98"/>
      <c r="P207" s="98"/>
      <c r="Q207" s="99"/>
      <c r="R207" s="39"/>
      <c r="S207" s="39"/>
      <c r="T207" s="39"/>
      <c r="U207" s="106" t="str">
        <f>IF([2]回答表!X45="○",[2]回答表!B314,IF([2]回答表!AA45="○",[2]回答表!B337,""))</f>
        <v/>
      </c>
      <c r="V207" s="107"/>
      <c r="W207" s="107"/>
      <c r="X207" s="107"/>
      <c r="Y207" s="107"/>
      <c r="Z207" s="107"/>
      <c r="AA207" s="107"/>
      <c r="AB207" s="107"/>
      <c r="AC207" s="107"/>
      <c r="AD207" s="107"/>
      <c r="AE207" s="107"/>
      <c r="AF207" s="107"/>
      <c r="AG207" s="107"/>
      <c r="AH207" s="107"/>
      <c r="AI207" s="107"/>
      <c r="AJ207" s="108"/>
      <c r="AK207" s="50"/>
      <c r="AL207" s="50"/>
      <c r="AM207" s="50"/>
      <c r="AN207" s="106" t="str">
        <f>IF([2]回答表!X45="○",[2]回答表!B320,"")</f>
        <v/>
      </c>
      <c r="AO207" s="173"/>
      <c r="AP207" s="173"/>
      <c r="AQ207" s="173"/>
      <c r="AR207" s="173"/>
      <c r="AS207" s="173"/>
      <c r="AT207" s="173"/>
      <c r="AU207" s="173"/>
      <c r="AV207" s="173"/>
      <c r="AW207" s="173"/>
      <c r="AX207" s="173"/>
      <c r="AY207" s="173"/>
      <c r="AZ207" s="173"/>
      <c r="BA207" s="173"/>
      <c r="BB207" s="174"/>
      <c r="BC207" s="40"/>
      <c r="BD207" s="35"/>
      <c r="BE207" s="115" t="str">
        <f>IF([2]回答表!X45="○",[2]回答表!B326,IF([2]回答表!AA45="○",[2]回答表!B343,""))</f>
        <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75"/>
      <c r="AO208" s="176"/>
      <c r="AP208" s="176"/>
      <c r="AQ208" s="176"/>
      <c r="AR208" s="176"/>
      <c r="AS208" s="176"/>
      <c r="AT208" s="176"/>
      <c r="AU208" s="176"/>
      <c r="AV208" s="176"/>
      <c r="AW208" s="176"/>
      <c r="AX208" s="176"/>
      <c r="AY208" s="176"/>
      <c r="AZ208" s="176"/>
      <c r="BA208" s="176"/>
      <c r="BB208" s="177"/>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75"/>
      <c r="AO209" s="176"/>
      <c r="AP209" s="176"/>
      <c r="AQ209" s="176"/>
      <c r="AR209" s="176"/>
      <c r="AS209" s="176"/>
      <c r="AT209" s="176"/>
      <c r="AU209" s="176"/>
      <c r="AV209" s="176"/>
      <c r="AW209" s="176"/>
      <c r="AX209" s="176"/>
      <c r="AY209" s="176"/>
      <c r="AZ209" s="176"/>
      <c r="BA209" s="176"/>
      <c r="BB209" s="177"/>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75"/>
      <c r="AO210" s="176"/>
      <c r="AP210" s="176"/>
      <c r="AQ210" s="176"/>
      <c r="AR210" s="176"/>
      <c r="AS210" s="176"/>
      <c r="AT210" s="176"/>
      <c r="AU210" s="176"/>
      <c r="AV210" s="176"/>
      <c r="AW210" s="176"/>
      <c r="AX210" s="176"/>
      <c r="AY210" s="176"/>
      <c r="AZ210" s="176"/>
      <c r="BA210" s="176"/>
      <c r="BB210" s="177"/>
      <c r="BC210" s="40"/>
      <c r="BD210" s="35"/>
      <c r="BE210" s="82" t="str">
        <f>IF([2]回答表!X45="○",[2]回答表!E326,IF([2]回答表!AA45="○",[2]回答表!E343,""))</f>
        <v/>
      </c>
      <c r="BF210" s="83"/>
      <c r="BG210" s="83"/>
      <c r="BH210" s="83"/>
      <c r="BI210" s="82" t="str">
        <f>IF([2]回答表!X45="○",[2]回答表!E327,IF([2]回答表!AA45="○",[2]回答表!E344,""))</f>
        <v/>
      </c>
      <c r="BJ210" s="83"/>
      <c r="BK210" s="83"/>
      <c r="BL210" s="86"/>
      <c r="BM210" s="82" t="str">
        <f>IF([2]回答表!X45="○",[2]回答表!E328,IF([2]回答表!AA45="○",[2]回答表!E345,""))</f>
        <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75"/>
      <c r="AO211" s="176"/>
      <c r="AP211" s="176"/>
      <c r="AQ211" s="176"/>
      <c r="AR211" s="176"/>
      <c r="AS211" s="176"/>
      <c r="AT211" s="176"/>
      <c r="AU211" s="176"/>
      <c r="AV211" s="176"/>
      <c r="AW211" s="176"/>
      <c r="AX211" s="176"/>
      <c r="AY211" s="176"/>
      <c r="AZ211" s="176"/>
      <c r="BA211" s="176"/>
      <c r="BB211" s="177"/>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75"/>
      <c r="AO212" s="176"/>
      <c r="AP212" s="176"/>
      <c r="AQ212" s="176"/>
      <c r="AR212" s="176"/>
      <c r="AS212" s="176"/>
      <c r="AT212" s="176"/>
      <c r="AU212" s="176"/>
      <c r="AV212" s="176"/>
      <c r="AW212" s="176"/>
      <c r="AX212" s="176"/>
      <c r="AY212" s="176"/>
      <c r="AZ212" s="176"/>
      <c r="BA212" s="176"/>
      <c r="BB212" s="177"/>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IF([2]回答表!AA45="○","○","")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75"/>
      <c r="AO213" s="176"/>
      <c r="AP213" s="176"/>
      <c r="AQ213" s="176"/>
      <c r="AR213" s="176"/>
      <c r="AS213" s="176"/>
      <c r="AT213" s="176"/>
      <c r="AU213" s="176"/>
      <c r="AV213" s="176"/>
      <c r="AW213" s="176"/>
      <c r="AX213" s="176"/>
      <c r="AY213" s="176"/>
      <c r="AZ213" s="176"/>
      <c r="BA213" s="176"/>
      <c r="BB213" s="177"/>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75"/>
      <c r="AO214" s="176"/>
      <c r="AP214" s="176"/>
      <c r="AQ214" s="176"/>
      <c r="AR214" s="176"/>
      <c r="AS214" s="176"/>
      <c r="AT214" s="176"/>
      <c r="AU214" s="176"/>
      <c r="AV214" s="176"/>
      <c r="AW214" s="176"/>
      <c r="AX214" s="176"/>
      <c r="AY214" s="176"/>
      <c r="AZ214" s="176"/>
      <c r="BA214" s="176"/>
      <c r="BB214" s="177"/>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75"/>
      <c r="AO215" s="176"/>
      <c r="AP215" s="176"/>
      <c r="AQ215" s="176"/>
      <c r="AR215" s="176"/>
      <c r="AS215" s="176"/>
      <c r="AT215" s="176"/>
      <c r="AU215" s="176"/>
      <c r="AV215" s="176"/>
      <c r="AW215" s="176"/>
      <c r="AX215" s="176"/>
      <c r="AY215" s="176"/>
      <c r="AZ215" s="176"/>
      <c r="BA215" s="176"/>
      <c r="BB215" s="177"/>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78"/>
      <c r="AO216" s="179"/>
      <c r="AP216" s="179"/>
      <c r="AQ216" s="179"/>
      <c r="AR216" s="179"/>
      <c r="AS216" s="179"/>
      <c r="AT216" s="179"/>
      <c r="AU216" s="179"/>
      <c r="AV216" s="179"/>
      <c r="AW216" s="179"/>
      <c r="AX216" s="179"/>
      <c r="AY216" s="179"/>
      <c r="AZ216" s="179"/>
      <c r="BA216" s="179"/>
      <c r="BB216" s="180"/>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IF([2]回答表!AD45="○","○","")</f>
        <v/>
      </c>
      <c r="O219" s="98"/>
      <c r="P219" s="98"/>
      <c r="Q219" s="99"/>
      <c r="R219" s="39"/>
      <c r="S219" s="39"/>
      <c r="T219" s="39"/>
      <c r="U219" s="106" t="str">
        <f>IF([2]回答表!AD45="○",[2]回答表!B350,"")</f>
        <v/>
      </c>
      <c r="V219" s="107"/>
      <c r="W219" s="107"/>
      <c r="X219" s="107"/>
      <c r="Y219" s="107"/>
      <c r="Z219" s="107"/>
      <c r="AA219" s="107"/>
      <c r="AB219" s="107"/>
      <c r="AC219" s="107"/>
      <c r="AD219" s="107"/>
      <c r="AE219" s="107"/>
      <c r="AF219" s="107"/>
      <c r="AG219" s="107"/>
      <c r="AH219" s="107"/>
      <c r="AI219" s="107"/>
      <c r="AJ219" s="108"/>
      <c r="AK219" s="61"/>
      <c r="AL219" s="61"/>
      <c r="AM219" s="106" t="str">
        <f>IF([2]回答表!AD45="○",[2]回答表!B356,"")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62"/>
      <c r="AS225" s="162"/>
      <c r="AT225" s="162"/>
      <c r="AU225" s="162"/>
      <c r="AV225" s="162"/>
      <c r="AW225" s="162"/>
      <c r="AX225" s="162"/>
      <c r="AY225" s="162"/>
      <c r="AZ225" s="162"/>
      <c r="BA225" s="162"/>
      <c r="BB225" s="162"/>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63"/>
      <c r="AS226" s="163"/>
      <c r="AT226" s="163"/>
      <c r="AU226" s="163"/>
      <c r="AV226" s="163"/>
      <c r="AW226" s="163"/>
      <c r="AX226" s="163"/>
      <c r="AY226" s="163"/>
      <c r="AZ226" s="163"/>
      <c r="BA226" s="163"/>
      <c r="BB226" s="163"/>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IF([2]回答表!X46="○","○","")</f>
        <v>○</v>
      </c>
      <c r="O231" s="98"/>
      <c r="P231" s="98"/>
      <c r="Q231" s="99"/>
      <c r="R231" s="39"/>
      <c r="S231" s="39"/>
      <c r="T231" s="39"/>
      <c r="U231" s="203" t="str">
        <f>IF([2]回答表!X46="○",[2]回答表!B368,IF([2]回答表!AA46="○",[2]回答表!B382,""))</f>
        <v>　大館市川口・立花地区の公共下水道未普及解消事業（管渠整備）においてＰＰＰ手法を導入し早期の完成を目指す。
 総事業費で10％の縮減、工事は約１．３倍程度のスピードが可能となるため工期短縮効果がある。</v>
      </c>
      <c r="V231" s="204"/>
      <c r="W231" s="204"/>
      <c r="X231" s="204"/>
      <c r="Y231" s="204"/>
      <c r="Z231" s="204"/>
      <c r="AA231" s="204"/>
      <c r="AB231" s="204"/>
      <c r="AC231" s="204"/>
      <c r="AD231" s="204"/>
      <c r="AE231" s="204"/>
      <c r="AF231" s="204"/>
      <c r="AG231" s="204"/>
      <c r="AH231" s="204"/>
      <c r="AI231" s="204"/>
      <c r="AJ231" s="205"/>
      <c r="AK231" s="50"/>
      <c r="AL231" s="50"/>
      <c r="AM231" s="149" t="s">
        <v>62</v>
      </c>
      <c r="AN231" s="149"/>
      <c r="AO231" s="149"/>
      <c r="AP231" s="149"/>
      <c r="AQ231" s="150" t="str">
        <f>IF([2]回答表!X46="○",[2]回答表!BC375,IF([2]回答表!AA46="○",[2]回答表!BC389,""))</f>
        <v>　</v>
      </c>
      <c r="AR231" s="150"/>
      <c r="AS231" s="150"/>
      <c r="AT231" s="150"/>
      <c r="AU231" s="164" t="s">
        <v>63</v>
      </c>
      <c r="AV231" s="165"/>
      <c r="AW231" s="165"/>
      <c r="AX231" s="166"/>
      <c r="AY231" s="150" t="str">
        <f>IF([2]回答表!X46="○",[2]回答表!BC380,IF([2]回答表!AA46="○",[2]回答表!BC394,""))</f>
        <v>　</v>
      </c>
      <c r="AZ231" s="150"/>
      <c r="BA231" s="150"/>
      <c r="BB231" s="150"/>
      <c r="BC231" s="40"/>
      <c r="BD231" s="35"/>
      <c r="BE231" s="115" t="str">
        <f>IF([2]回答表!X46="○",[2]回答表!S374,IF([2]回答表!AA46="○",[2]回答表!S388,""))</f>
        <v>令和</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206"/>
      <c r="V232" s="207"/>
      <c r="W232" s="207"/>
      <c r="X232" s="207"/>
      <c r="Y232" s="207"/>
      <c r="Z232" s="207"/>
      <c r="AA232" s="207"/>
      <c r="AB232" s="207"/>
      <c r="AC232" s="207"/>
      <c r="AD232" s="207"/>
      <c r="AE232" s="207"/>
      <c r="AF232" s="207"/>
      <c r="AG232" s="207"/>
      <c r="AH232" s="207"/>
      <c r="AI232" s="207"/>
      <c r="AJ232" s="208"/>
      <c r="AK232" s="50"/>
      <c r="AL232" s="50"/>
      <c r="AM232" s="149"/>
      <c r="AN232" s="149"/>
      <c r="AO232" s="149"/>
      <c r="AP232" s="149"/>
      <c r="AQ232" s="150"/>
      <c r="AR232" s="150"/>
      <c r="AS232" s="150"/>
      <c r="AT232" s="150"/>
      <c r="AU232" s="167"/>
      <c r="AV232" s="168"/>
      <c r="AW232" s="168"/>
      <c r="AX232" s="169"/>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206"/>
      <c r="V233" s="207"/>
      <c r="W233" s="207"/>
      <c r="X233" s="207"/>
      <c r="Y233" s="207"/>
      <c r="Z233" s="207"/>
      <c r="AA233" s="207"/>
      <c r="AB233" s="207"/>
      <c r="AC233" s="207"/>
      <c r="AD233" s="207"/>
      <c r="AE233" s="207"/>
      <c r="AF233" s="207"/>
      <c r="AG233" s="207"/>
      <c r="AH233" s="207"/>
      <c r="AI233" s="207"/>
      <c r="AJ233" s="208"/>
      <c r="AK233" s="50"/>
      <c r="AL233" s="50"/>
      <c r="AM233" s="149" t="s">
        <v>64</v>
      </c>
      <c r="AN233" s="149"/>
      <c r="AO233" s="149"/>
      <c r="AP233" s="149"/>
      <c r="AQ233" s="150" t="str">
        <f>IF([2]回答表!X46="○",[2]回答表!BC376,IF([2]回答表!AA46="○",[2]回答表!BC390,""))</f>
        <v>　</v>
      </c>
      <c r="AR233" s="150"/>
      <c r="AS233" s="150"/>
      <c r="AT233" s="150"/>
      <c r="AU233" s="167"/>
      <c r="AV233" s="168"/>
      <c r="AW233" s="168"/>
      <c r="AX233" s="169"/>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206"/>
      <c r="V234" s="207"/>
      <c r="W234" s="207"/>
      <c r="X234" s="207"/>
      <c r="Y234" s="207"/>
      <c r="Z234" s="207"/>
      <c r="AA234" s="207"/>
      <c r="AB234" s="207"/>
      <c r="AC234" s="207"/>
      <c r="AD234" s="207"/>
      <c r="AE234" s="207"/>
      <c r="AF234" s="207"/>
      <c r="AG234" s="207"/>
      <c r="AH234" s="207"/>
      <c r="AI234" s="207"/>
      <c r="AJ234" s="208"/>
      <c r="AK234" s="50"/>
      <c r="AL234" s="50"/>
      <c r="AM234" s="149"/>
      <c r="AN234" s="149"/>
      <c r="AO234" s="149"/>
      <c r="AP234" s="149"/>
      <c r="AQ234" s="150"/>
      <c r="AR234" s="150"/>
      <c r="AS234" s="150"/>
      <c r="AT234" s="150"/>
      <c r="AU234" s="167"/>
      <c r="AV234" s="168"/>
      <c r="AW234" s="168"/>
      <c r="AX234" s="169"/>
      <c r="AY234" s="150"/>
      <c r="AZ234" s="150"/>
      <c r="BA234" s="150"/>
      <c r="BB234" s="150"/>
      <c r="BC234" s="40"/>
      <c r="BD234" s="35"/>
      <c r="BE234" s="82">
        <f>IF([2]回答表!X46="○",[2]回答表!V374,IF([2]回答表!AA46="○",[2]回答表!V388,""))</f>
        <v>1</v>
      </c>
      <c r="BF234" s="83"/>
      <c r="BG234" s="83"/>
      <c r="BH234" s="83"/>
      <c r="BI234" s="82">
        <f>IF([2]回答表!X46="○",[2]回答表!V375,IF([2]回答表!AA46="○",[2]回答表!V389,""))</f>
        <v>5</v>
      </c>
      <c r="BJ234" s="83"/>
      <c r="BK234" s="83"/>
      <c r="BL234" s="86"/>
      <c r="BM234" s="82">
        <f>IF([2]回答表!X46="○",[2]回答表!V376,IF([2]回答表!AA46="○",[2]回答表!V390,""))</f>
        <v>28</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206"/>
      <c r="V235" s="207"/>
      <c r="W235" s="207"/>
      <c r="X235" s="207"/>
      <c r="Y235" s="207"/>
      <c r="Z235" s="207"/>
      <c r="AA235" s="207"/>
      <c r="AB235" s="207"/>
      <c r="AC235" s="207"/>
      <c r="AD235" s="207"/>
      <c r="AE235" s="207"/>
      <c r="AF235" s="207"/>
      <c r="AG235" s="207"/>
      <c r="AH235" s="207"/>
      <c r="AI235" s="207"/>
      <c r="AJ235" s="208"/>
      <c r="AK235" s="50"/>
      <c r="AL235" s="50"/>
      <c r="AM235" s="149" t="s">
        <v>65</v>
      </c>
      <c r="AN235" s="149"/>
      <c r="AO235" s="149"/>
      <c r="AP235" s="149"/>
      <c r="AQ235" s="150" t="str">
        <f>IF([2]回答表!X46="○",[2]回答表!BC377,IF([2]回答表!AA46="○",[2]回答表!BC391,""))</f>
        <v>　</v>
      </c>
      <c r="AR235" s="150"/>
      <c r="AS235" s="150"/>
      <c r="AT235" s="150"/>
      <c r="AU235" s="170"/>
      <c r="AV235" s="171"/>
      <c r="AW235" s="171"/>
      <c r="AX235" s="172"/>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206"/>
      <c r="V236" s="207"/>
      <c r="W236" s="207"/>
      <c r="X236" s="207"/>
      <c r="Y236" s="207"/>
      <c r="Z236" s="207"/>
      <c r="AA236" s="207"/>
      <c r="AB236" s="207"/>
      <c r="AC236" s="207"/>
      <c r="AD236" s="207"/>
      <c r="AE236" s="207"/>
      <c r="AF236" s="207"/>
      <c r="AG236" s="207"/>
      <c r="AH236" s="207"/>
      <c r="AI236" s="207"/>
      <c r="AJ236" s="208"/>
      <c r="AK236" s="50"/>
      <c r="AL236" s="50"/>
      <c r="AM236" s="149"/>
      <c r="AN236" s="149"/>
      <c r="AO236" s="149"/>
      <c r="AP236" s="149"/>
      <c r="AQ236" s="150"/>
      <c r="AR236" s="150"/>
      <c r="AS236" s="150"/>
      <c r="AT236" s="150"/>
      <c r="AU236" s="149" t="s">
        <v>66</v>
      </c>
      <c r="AV236" s="149"/>
      <c r="AW236" s="149"/>
      <c r="AX236" s="149"/>
      <c r="AY236" s="160" t="str">
        <f>IF([2]回答表!X46="○",[2]回答表!BC381,IF([2]回答表!AA46="○",[2]回答表!BC395,""))</f>
        <v>　</v>
      </c>
      <c r="AZ236" s="160"/>
      <c r="BA236" s="160"/>
      <c r="BB236" s="160"/>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IF([2]回答表!AA46="○","○","")</f>
        <v/>
      </c>
      <c r="O237" s="98"/>
      <c r="P237" s="98"/>
      <c r="Q237" s="99"/>
      <c r="R237" s="39"/>
      <c r="S237" s="39"/>
      <c r="T237" s="39"/>
      <c r="U237" s="206"/>
      <c r="V237" s="207"/>
      <c r="W237" s="207"/>
      <c r="X237" s="207"/>
      <c r="Y237" s="207"/>
      <c r="Z237" s="207"/>
      <c r="AA237" s="207"/>
      <c r="AB237" s="207"/>
      <c r="AC237" s="207"/>
      <c r="AD237" s="207"/>
      <c r="AE237" s="207"/>
      <c r="AF237" s="207"/>
      <c r="AG237" s="207"/>
      <c r="AH237" s="207"/>
      <c r="AI237" s="207"/>
      <c r="AJ237" s="208"/>
      <c r="AK237" s="50"/>
      <c r="AL237" s="50"/>
      <c r="AM237" s="149" t="s">
        <v>67</v>
      </c>
      <c r="AN237" s="149"/>
      <c r="AO237" s="149"/>
      <c r="AP237" s="149"/>
      <c r="AQ237" s="161" t="str">
        <f>IF([2]回答表!X46="○",[2]回答表!BC378,IF([2]回答表!AA46="○",[2]回答表!BC392,""))</f>
        <v>○</v>
      </c>
      <c r="AR237" s="150"/>
      <c r="AS237" s="150"/>
      <c r="AT237" s="150"/>
      <c r="AU237" s="149"/>
      <c r="AV237" s="149"/>
      <c r="AW237" s="149"/>
      <c r="AX237" s="149"/>
      <c r="AY237" s="160"/>
      <c r="AZ237" s="160"/>
      <c r="BA237" s="160"/>
      <c r="BB237" s="160"/>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206"/>
      <c r="V238" s="207"/>
      <c r="W238" s="207"/>
      <c r="X238" s="207"/>
      <c r="Y238" s="207"/>
      <c r="Z238" s="207"/>
      <c r="AA238" s="207"/>
      <c r="AB238" s="207"/>
      <c r="AC238" s="207"/>
      <c r="AD238" s="207"/>
      <c r="AE238" s="207"/>
      <c r="AF238" s="207"/>
      <c r="AG238" s="207"/>
      <c r="AH238" s="207"/>
      <c r="AI238" s="207"/>
      <c r="AJ238" s="208"/>
      <c r="AK238" s="50"/>
      <c r="AL238" s="50"/>
      <c r="AM238" s="149"/>
      <c r="AN238" s="149"/>
      <c r="AO238" s="149"/>
      <c r="AP238" s="149"/>
      <c r="AQ238" s="150"/>
      <c r="AR238" s="150"/>
      <c r="AS238" s="150"/>
      <c r="AT238" s="150"/>
      <c r="AU238" s="149"/>
      <c r="AV238" s="149"/>
      <c r="AW238" s="149"/>
      <c r="AX238" s="149"/>
      <c r="AY238" s="160"/>
      <c r="AZ238" s="160"/>
      <c r="BA238" s="160"/>
      <c r="BB238" s="160"/>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206"/>
      <c r="V239" s="207"/>
      <c r="W239" s="207"/>
      <c r="X239" s="207"/>
      <c r="Y239" s="207"/>
      <c r="Z239" s="207"/>
      <c r="AA239" s="207"/>
      <c r="AB239" s="207"/>
      <c r="AC239" s="207"/>
      <c r="AD239" s="207"/>
      <c r="AE239" s="207"/>
      <c r="AF239" s="207"/>
      <c r="AG239" s="207"/>
      <c r="AH239" s="207"/>
      <c r="AI239" s="207"/>
      <c r="AJ239" s="208"/>
      <c r="AK239" s="50"/>
      <c r="AL239" s="50"/>
      <c r="AM239" s="149" t="s">
        <v>68</v>
      </c>
      <c r="AN239" s="149"/>
      <c r="AO239" s="149"/>
      <c r="AP239" s="149"/>
      <c r="AQ239" s="150" t="str">
        <f>IF([2]回答表!X46="○",[2]回答表!BC379,IF([2]回答表!AA46="○",[2]回答表!BC393,""))</f>
        <v>　</v>
      </c>
      <c r="AR239" s="150"/>
      <c r="AS239" s="150"/>
      <c r="AT239" s="150"/>
      <c r="AU239" s="149"/>
      <c r="AV239" s="149"/>
      <c r="AW239" s="149"/>
      <c r="AX239" s="149"/>
      <c r="AY239" s="160"/>
      <c r="AZ239" s="160"/>
      <c r="BA239" s="160"/>
      <c r="BB239" s="160"/>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209"/>
      <c r="V240" s="210"/>
      <c r="W240" s="210"/>
      <c r="X240" s="210"/>
      <c r="Y240" s="210"/>
      <c r="Z240" s="210"/>
      <c r="AA240" s="210"/>
      <c r="AB240" s="210"/>
      <c r="AC240" s="210"/>
      <c r="AD240" s="210"/>
      <c r="AE240" s="210"/>
      <c r="AF240" s="210"/>
      <c r="AG240" s="210"/>
      <c r="AH240" s="210"/>
      <c r="AI240" s="210"/>
      <c r="AJ240" s="211"/>
      <c r="AK240" s="50"/>
      <c r="AL240" s="50"/>
      <c r="AM240" s="149"/>
      <c r="AN240" s="149"/>
      <c r="AO240" s="149"/>
      <c r="AP240" s="149"/>
      <c r="AQ240" s="150"/>
      <c r="AR240" s="150"/>
      <c r="AS240" s="150"/>
      <c r="AT240" s="150"/>
      <c r="AU240" s="149"/>
      <c r="AV240" s="149"/>
      <c r="AW240" s="149"/>
      <c r="AX240" s="149"/>
      <c r="AY240" s="160"/>
      <c r="AZ240" s="160"/>
      <c r="BA240" s="160"/>
      <c r="BB240" s="160"/>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IF([2]回答表!AD46="○","○","")</f>
        <v/>
      </c>
      <c r="O243" s="98"/>
      <c r="P243" s="98"/>
      <c r="Q243" s="99"/>
      <c r="R243" s="39"/>
      <c r="S243" s="39"/>
      <c r="T243" s="39"/>
      <c r="U243" s="106" t="str">
        <f>IF([2]回答表!AD46="○",[2]回答表!B396,"")</f>
        <v/>
      </c>
      <c r="V243" s="107"/>
      <c r="W243" s="107"/>
      <c r="X243" s="107"/>
      <c r="Y243" s="107"/>
      <c r="Z243" s="107"/>
      <c r="AA243" s="107"/>
      <c r="AB243" s="107"/>
      <c r="AC243" s="107"/>
      <c r="AD243" s="107"/>
      <c r="AE243" s="107"/>
      <c r="AF243" s="107"/>
      <c r="AG243" s="107"/>
      <c r="AH243" s="107"/>
      <c r="AI243" s="107"/>
      <c r="AJ243" s="108"/>
      <c r="AK243" s="56"/>
      <c r="AL243" s="56"/>
      <c r="AM243" s="106" t="str">
        <f>IF([2]回答表!AD46="○",[2]回答表!B402,"")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IF([2]回答表!X47="○","○","")</f>
        <v/>
      </c>
      <c r="O254" s="98"/>
      <c r="P254" s="98"/>
      <c r="Q254" s="99"/>
      <c r="R254" s="39"/>
      <c r="S254" s="39"/>
      <c r="T254" s="39"/>
      <c r="U254" s="106" t="str">
        <f>IF([2]回答表!X47="○",[2]回答表!B414,IF([2]回答表!AA47="○",[2]回答表!B431,""))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IF([2]回答表!X47="○",[2]回答表!B424,IF([2]回答表!AA47="○",[2]回答表!B441,""))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IF([2]回答表!X47="○",[2]回答表!G420,IF([2]回答表!AA47="○",[2]回答表!G437,""))</f>
        <v/>
      </c>
      <c r="AN256" s="119"/>
      <c r="AO256" s="119"/>
      <c r="AP256" s="119"/>
      <c r="AQ256" s="119"/>
      <c r="AR256" s="119"/>
      <c r="AS256" s="119"/>
      <c r="AT256" s="120"/>
      <c r="AU256" s="118" t="str">
        <f>IF([2]回答表!X47="○",[2]回答表!G421,IF([2]回答表!AA47="○",[2]回答表!G438,""))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IF([2]回答表!X47="○",[2]回答表!E424,IF([2]回答表!AA47="○",[2]回答表!E441,""))</f>
        <v/>
      </c>
      <c r="BF257" s="83"/>
      <c r="BG257" s="83"/>
      <c r="BH257" s="83"/>
      <c r="BI257" s="82" t="str">
        <f>IF([2]回答表!X47="○",[2]回答表!E425,IF([2]回答表!AA47="○",[2]回答表!E442,""))</f>
        <v/>
      </c>
      <c r="BJ257" s="83"/>
      <c r="BK257" s="83"/>
      <c r="BL257" s="86"/>
      <c r="BM257" s="82" t="str">
        <f>IF([2]回答表!X47="○",[2]回答表!E426,IF([2]回答表!AA47="○",[2]回答表!E443,""))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IF([2]回答表!AA47="○","○","")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IF([2]回答表!AD47="○","○","")</f>
        <v/>
      </c>
      <c r="O266" s="98"/>
      <c r="P266" s="98"/>
      <c r="Q266" s="99"/>
      <c r="R266" s="39"/>
      <c r="S266" s="39"/>
      <c r="T266" s="39"/>
      <c r="U266" s="106" t="str">
        <f>IF([2]回答表!AD47="○",[2]回答表!B448,"")</f>
        <v/>
      </c>
      <c r="V266" s="107"/>
      <c r="W266" s="107"/>
      <c r="X266" s="107"/>
      <c r="Y266" s="107"/>
      <c r="Z266" s="107"/>
      <c r="AA266" s="107"/>
      <c r="AB266" s="107"/>
      <c r="AC266" s="107"/>
      <c r="AD266" s="107"/>
      <c r="AE266" s="107"/>
      <c r="AF266" s="107"/>
      <c r="AG266" s="107"/>
      <c r="AH266" s="107"/>
      <c r="AI266" s="107"/>
      <c r="AJ266" s="108"/>
      <c r="AK266" s="50"/>
      <c r="AL266" s="50"/>
      <c r="AM266" s="106" t="str">
        <f>IF([2]回答表!AD47="○",[2]回答表!B454,"")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IF([2]回答表!R48="○",[2]回答表!B467,"")</f>
        <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2"/>
  <conditionalFormatting sqref="A29:XFD30 A28:BI28 BR28:XFD28">
    <cfRule type="expression" dxfId="8"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1D4DE-07DA-4194-83B6-9E54C3019217}">
  <sheetPr>
    <pageSetUpPr fitToPage="1"/>
  </sheetPr>
  <dimension ref="A1:CE298"/>
  <sheetViews>
    <sheetView showZeros="0" zoomScale="55" zoomScaleNormal="55" workbookViewId="0">
      <selection activeCell="CA248" sqref="CA248"/>
    </sheetView>
  </sheetViews>
  <sheetFormatPr defaultColWidth="2.875" defaultRowHeight="12.6" customHeight="1" x14ac:dyDescent="0.4"/>
  <cols>
    <col min="1" max="70" width="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63" t="s">
        <v>0</v>
      </c>
      <c r="D8" s="264"/>
      <c r="E8" s="264"/>
      <c r="F8" s="264"/>
      <c r="G8" s="264"/>
      <c r="H8" s="264"/>
      <c r="I8" s="264"/>
      <c r="J8" s="264"/>
      <c r="K8" s="264"/>
      <c r="L8" s="264"/>
      <c r="M8" s="264"/>
      <c r="N8" s="264"/>
      <c r="O8" s="264"/>
      <c r="P8" s="264"/>
      <c r="Q8" s="264"/>
      <c r="R8" s="264"/>
      <c r="S8" s="264"/>
      <c r="T8" s="264"/>
      <c r="U8" s="265" t="s">
        <v>1</v>
      </c>
      <c r="V8" s="266"/>
      <c r="W8" s="266"/>
      <c r="X8" s="266"/>
      <c r="Y8" s="266"/>
      <c r="Z8" s="266"/>
      <c r="AA8" s="266"/>
      <c r="AB8" s="266"/>
      <c r="AC8" s="266"/>
      <c r="AD8" s="266"/>
      <c r="AE8" s="266"/>
      <c r="AF8" s="266"/>
      <c r="AG8" s="266"/>
      <c r="AH8" s="266"/>
      <c r="AI8" s="266"/>
      <c r="AJ8" s="266"/>
      <c r="AK8" s="266"/>
      <c r="AL8" s="266"/>
      <c r="AM8" s="266"/>
      <c r="AN8" s="267"/>
      <c r="AO8" s="268" t="s">
        <v>2</v>
      </c>
      <c r="AP8" s="266"/>
      <c r="AQ8" s="266"/>
      <c r="AR8" s="266"/>
      <c r="AS8" s="266"/>
      <c r="AT8" s="266"/>
      <c r="AU8" s="266"/>
      <c r="AV8" s="266"/>
      <c r="AW8" s="266"/>
      <c r="AX8" s="266"/>
      <c r="AY8" s="266"/>
      <c r="AZ8" s="266"/>
      <c r="BA8" s="266"/>
      <c r="BB8" s="266"/>
      <c r="BC8" s="266"/>
      <c r="BD8" s="266"/>
      <c r="BE8" s="267"/>
      <c r="BF8" s="263" t="s">
        <v>3</v>
      </c>
      <c r="BG8" s="269"/>
      <c r="BH8" s="269"/>
      <c r="BI8" s="269"/>
      <c r="BJ8" s="269"/>
      <c r="BK8" s="269"/>
      <c r="BL8" s="269"/>
      <c r="BM8" s="269"/>
      <c r="BN8" s="269"/>
      <c r="BO8" s="269"/>
      <c r="BP8" s="269"/>
      <c r="BQ8" s="8"/>
    </row>
    <row r="9" spans="3:70" ht="15.6" customHeight="1" x14ac:dyDescent="0.4">
      <c r="C9" s="264"/>
      <c r="D9" s="264"/>
      <c r="E9" s="264"/>
      <c r="F9" s="264"/>
      <c r="G9" s="264"/>
      <c r="H9" s="264"/>
      <c r="I9" s="264"/>
      <c r="J9" s="264"/>
      <c r="K9" s="264"/>
      <c r="L9" s="264"/>
      <c r="M9" s="264"/>
      <c r="N9" s="264"/>
      <c r="O9" s="264"/>
      <c r="P9" s="264"/>
      <c r="Q9" s="264"/>
      <c r="R9" s="264"/>
      <c r="S9" s="264"/>
      <c r="T9" s="264"/>
      <c r="U9" s="219"/>
      <c r="V9" s="217"/>
      <c r="W9" s="217"/>
      <c r="X9" s="217"/>
      <c r="Y9" s="217"/>
      <c r="Z9" s="217"/>
      <c r="AA9" s="217"/>
      <c r="AB9" s="217"/>
      <c r="AC9" s="217"/>
      <c r="AD9" s="217"/>
      <c r="AE9" s="217"/>
      <c r="AF9" s="217"/>
      <c r="AG9" s="217"/>
      <c r="AH9" s="217"/>
      <c r="AI9" s="217"/>
      <c r="AJ9" s="217"/>
      <c r="AK9" s="217"/>
      <c r="AL9" s="217"/>
      <c r="AM9" s="217"/>
      <c r="AN9" s="218"/>
      <c r="AO9" s="219"/>
      <c r="AP9" s="217"/>
      <c r="AQ9" s="217"/>
      <c r="AR9" s="217"/>
      <c r="AS9" s="217"/>
      <c r="AT9" s="217"/>
      <c r="AU9" s="217"/>
      <c r="AV9" s="217"/>
      <c r="AW9" s="217"/>
      <c r="AX9" s="217"/>
      <c r="AY9" s="217"/>
      <c r="AZ9" s="217"/>
      <c r="BA9" s="217"/>
      <c r="BB9" s="217"/>
      <c r="BC9" s="217"/>
      <c r="BD9" s="217"/>
      <c r="BE9" s="218"/>
      <c r="BF9" s="269"/>
      <c r="BG9" s="269"/>
      <c r="BH9" s="269"/>
      <c r="BI9" s="269"/>
      <c r="BJ9" s="269"/>
      <c r="BK9" s="269"/>
      <c r="BL9" s="269"/>
      <c r="BM9" s="269"/>
      <c r="BN9" s="269"/>
      <c r="BO9" s="269"/>
      <c r="BP9" s="269"/>
      <c r="BQ9" s="8"/>
    </row>
    <row r="10" spans="3:70" ht="15.6" customHeight="1" x14ac:dyDescent="0.4">
      <c r="C10" s="264"/>
      <c r="D10" s="264"/>
      <c r="E10" s="264"/>
      <c r="F10" s="264"/>
      <c r="G10" s="264"/>
      <c r="H10" s="264"/>
      <c r="I10" s="264"/>
      <c r="J10" s="264"/>
      <c r="K10" s="264"/>
      <c r="L10" s="264"/>
      <c r="M10" s="264"/>
      <c r="N10" s="264"/>
      <c r="O10" s="264"/>
      <c r="P10" s="264"/>
      <c r="Q10" s="264"/>
      <c r="R10" s="264"/>
      <c r="S10" s="264"/>
      <c r="T10" s="264"/>
      <c r="U10" s="220"/>
      <c r="V10" s="221"/>
      <c r="W10" s="221"/>
      <c r="X10" s="221"/>
      <c r="Y10" s="221"/>
      <c r="Z10" s="221"/>
      <c r="AA10" s="221"/>
      <c r="AB10" s="221"/>
      <c r="AC10" s="221"/>
      <c r="AD10" s="221"/>
      <c r="AE10" s="221"/>
      <c r="AF10" s="221"/>
      <c r="AG10" s="221"/>
      <c r="AH10" s="221"/>
      <c r="AI10" s="221"/>
      <c r="AJ10" s="221"/>
      <c r="AK10" s="221"/>
      <c r="AL10" s="221"/>
      <c r="AM10" s="221"/>
      <c r="AN10" s="222"/>
      <c r="AO10" s="220"/>
      <c r="AP10" s="221"/>
      <c r="AQ10" s="221"/>
      <c r="AR10" s="221"/>
      <c r="AS10" s="221"/>
      <c r="AT10" s="221"/>
      <c r="AU10" s="221"/>
      <c r="AV10" s="221"/>
      <c r="AW10" s="221"/>
      <c r="AX10" s="221"/>
      <c r="AY10" s="221"/>
      <c r="AZ10" s="221"/>
      <c r="BA10" s="221"/>
      <c r="BB10" s="221"/>
      <c r="BC10" s="221"/>
      <c r="BD10" s="221"/>
      <c r="BE10" s="222"/>
      <c r="BF10" s="269"/>
      <c r="BG10" s="269"/>
      <c r="BH10" s="269"/>
      <c r="BI10" s="269"/>
      <c r="BJ10" s="269"/>
      <c r="BK10" s="269"/>
      <c r="BL10" s="269"/>
      <c r="BM10" s="269"/>
      <c r="BN10" s="269"/>
      <c r="BO10" s="269"/>
      <c r="BP10" s="269"/>
      <c r="BQ10" s="8"/>
    </row>
    <row r="11" spans="3:70" ht="15.6" customHeight="1" x14ac:dyDescent="0.4">
      <c r="C11" s="270" t="str">
        <f>IF(COUNTIF([4]回答表!K15,"*")&gt;0,[4]回答表!K15,"")</f>
        <v>大館市</v>
      </c>
      <c r="D11" s="264"/>
      <c r="E11" s="264"/>
      <c r="F11" s="264"/>
      <c r="G11" s="264"/>
      <c r="H11" s="264"/>
      <c r="I11" s="264"/>
      <c r="J11" s="264"/>
      <c r="K11" s="264"/>
      <c r="L11" s="264"/>
      <c r="M11" s="264"/>
      <c r="N11" s="264"/>
      <c r="O11" s="264"/>
      <c r="P11" s="264"/>
      <c r="Q11" s="264"/>
      <c r="R11" s="264"/>
      <c r="S11" s="264"/>
      <c r="T11" s="264"/>
      <c r="U11" s="271" t="str">
        <f>IF(COUNTIF([4]回答表!F17,"*")&gt;0,[4]回答表!F17,"")</f>
        <v>下水道事業</v>
      </c>
      <c r="V11" s="272"/>
      <c r="W11" s="272"/>
      <c r="X11" s="272"/>
      <c r="Y11" s="272"/>
      <c r="Z11" s="272"/>
      <c r="AA11" s="272"/>
      <c r="AB11" s="272"/>
      <c r="AC11" s="272"/>
      <c r="AD11" s="272"/>
      <c r="AE11" s="272"/>
      <c r="AF11" s="266"/>
      <c r="AG11" s="266"/>
      <c r="AH11" s="266"/>
      <c r="AI11" s="266"/>
      <c r="AJ11" s="266"/>
      <c r="AK11" s="266"/>
      <c r="AL11" s="266"/>
      <c r="AM11" s="266"/>
      <c r="AN11" s="267"/>
      <c r="AO11" s="277" t="str">
        <f>IF(COUNTIF([4]回答表!W17,"*")&gt;0,[4]回答表!W17,"")</f>
        <v>農業集落排水施設</v>
      </c>
      <c r="AP11" s="266"/>
      <c r="AQ11" s="266"/>
      <c r="AR11" s="266"/>
      <c r="AS11" s="266"/>
      <c r="AT11" s="266"/>
      <c r="AU11" s="266"/>
      <c r="AV11" s="266"/>
      <c r="AW11" s="266"/>
      <c r="AX11" s="266"/>
      <c r="AY11" s="266"/>
      <c r="AZ11" s="266"/>
      <c r="BA11" s="266"/>
      <c r="BB11" s="266"/>
      <c r="BC11" s="266"/>
      <c r="BD11" s="266"/>
      <c r="BE11" s="267"/>
      <c r="BF11" s="270" t="str">
        <f>IF(COUNTIF([4]回答表!F19,"*")&gt;0,[4]回答表!F19,"")</f>
        <v>ー</v>
      </c>
      <c r="BG11" s="269"/>
      <c r="BH11" s="269"/>
      <c r="BI11" s="269"/>
      <c r="BJ11" s="269"/>
      <c r="BK11" s="269"/>
      <c r="BL11" s="269"/>
      <c r="BM11" s="269"/>
      <c r="BN11" s="269"/>
      <c r="BO11" s="269"/>
      <c r="BP11" s="269"/>
      <c r="BQ11" s="6"/>
    </row>
    <row r="12" spans="3:70" ht="15.6" customHeight="1" x14ac:dyDescent="0.4">
      <c r="C12" s="264"/>
      <c r="D12" s="264"/>
      <c r="E12" s="264"/>
      <c r="F12" s="264"/>
      <c r="G12" s="264"/>
      <c r="H12" s="264"/>
      <c r="I12" s="264"/>
      <c r="J12" s="264"/>
      <c r="K12" s="264"/>
      <c r="L12" s="264"/>
      <c r="M12" s="264"/>
      <c r="N12" s="264"/>
      <c r="O12" s="264"/>
      <c r="P12" s="264"/>
      <c r="Q12" s="264"/>
      <c r="R12" s="264"/>
      <c r="S12" s="264"/>
      <c r="T12" s="264"/>
      <c r="U12" s="273"/>
      <c r="V12" s="274"/>
      <c r="W12" s="274"/>
      <c r="X12" s="274"/>
      <c r="Y12" s="274"/>
      <c r="Z12" s="274"/>
      <c r="AA12" s="274"/>
      <c r="AB12" s="274"/>
      <c r="AC12" s="274"/>
      <c r="AD12" s="274"/>
      <c r="AE12" s="274"/>
      <c r="AF12" s="217"/>
      <c r="AG12" s="217"/>
      <c r="AH12" s="217"/>
      <c r="AI12" s="217"/>
      <c r="AJ12" s="217"/>
      <c r="AK12" s="217"/>
      <c r="AL12" s="217"/>
      <c r="AM12" s="217"/>
      <c r="AN12" s="218"/>
      <c r="AO12" s="219"/>
      <c r="AP12" s="217"/>
      <c r="AQ12" s="217"/>
      <c r="AR12" s="217"/>
      <c r="AS12" s="217"/>
      <c r="AT12" s="217"/>
      <c r="AU12" s="217"/>
      <c r="AV12" s="217"/>
      <c r="AW12" s="217"/>
      <c r="AX12" s="217"/>
      <c r="AY12" s="217"/>
      <c r="AZ12" s="217"/>
      <c r="BA12" s="217"/>
      <c r="BB12" s="217"/>
      <c r="BC12" s="217"/>
      <c r="BD12" s="217"/>
      <c r="BE12" s="218"/>
      <c r="BF12" s="269"/>
      <c r="BG12" s="269"/>
      <c r="BH12" s="269"/>
      <c r="BI12" s="269"/>
      <c r="BJ12" s="269"/>
      <c r="BK12" s="269"/>
      <c r="BL12" s="269"/>
      <c r="BM12" s="269"/>
      <c r="BN12" s="269"/>
      <c r="BO12" s="269"/>
      <c r="BP12" s="269"/>
      <c r="BQ12" s="6"/>
    </row>
    <row r="13" spans="3:70" ht="15.6" customHeight="1" x14ac:dyDescent="0.4">
      <c r="C13" s="264"/>
      <c r="D13" s="264"/>
      <c r="E13" s="264"/>
      <c r="F13" s="264"/>
      <c r="G13" s="264"/>
      <c r="H13" s="264"/>
      <c r="I13" s="264"/>
      <c r="J13" s="264"/>
      <c r="K13" s="264"/>
      <c r="L13" s="264"/>
      <c r="M13" s="264"/>
      <c r="N13" s="264"/>
      <c r="O13" s="264"/>
      <c r="P13" s="264"/>
      <c r="Q13" s="264"/>
      <c r="R13" s="264"/>
      <c r="S13" s="264"/>
      <c r="T13" s="264"/>
      <c r="U13" s="275"/>
      <c r="V13" s="276"/>
      <c r="W13" s="276"/>
      <c r="X13" s="276"/>
      <c r="Y13" s="276"/>
      <c r="Z13" s="276"/>
      <c r="AA13" s="276"/>
      <c r="AB13" s="276"/>
      <c r="AC13" s="276"/>
      <c r="AD13" s="276"/>
      <c r="AE13" s="276"/>
      <c r="AF13" s="221"/>
      <c r="AG13" s="221"/>
      <c r="AH13" s="221"/>
      <c r="AI13" s="221"/>
      <c r="AJ13" s="221"/>
      <c r="AK13" s="221"/>
      <c r="AL13" s="221"/>
      <c r="AM13" s="221"/>
      <c r="AN13" s="222"/>
      <c r="AO13" s="220"/>
      <c r="AP13" s="221"/>
      <c r="AQ13" s="221"/>
      <c r="AR13" s="221"/>
      <c r="AS13" s="221"/>
      <c r="AT13" s="221"/>
      <c r="AU13" s="221"/>
      <c r="AV13" s="221"/>
      <c r="AW13" s="221"/>
      <c r="AX13" s="221"/>
      <c r="AY13" s="221"/>
      <c r="AZ13" s="221"/>
      <c r="BA13" s="221"/>
      <c r="BB13" s="221"/>
      <c r="BC13" s="221"/>
      <c r="BD13" s="221"/>
      <c r="BE13" s="222"/>
      <c r="BF13" s="269"/>
      <c r="BG13" s="269"/>
      <c r="BH13" s="269"/>
      <c r="BI13" s="269"/>
      <c r="BJ13" s="269"/>
      <c r="BK13" s="269"/>
      <c r="BL13" s="269"/>
      <c r="BM13" s="269"/>
      <c r="BN13" s="269"/>
      <c r="BO13" s="269"/>
      <c r="BP13" s="269"/>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30" t="s">
        <v>4</v>
      </c>
      <c r="E18" s="231"/>
      <c r="F18" s="231"/>
      <c r="G18" s="231"/>
      <c r="H18" s="231"/>
      <c r="I18" s="231"/>
      <c r="J18" s="231"/>
      <c r="K18" s="231"/>
      <c r="L18" s="231"/>
      <c r="M18" s="231"/>
      <c r="N18" s="231"/>
      <c r="O18" s="231"/>
      <c r="P18" s="231"/>
      <c r="Q18" s="231"/>
      <c r="R18" s="231"/>
      <c r="S18" s="231"/>
      <c r="T18" s="231"/>
      <c r="U18" s="231"/>
      <c r="V18" s="231"/>
      <c r="W18" s="231"/>
      <c r="X18" s="231"/>
      <c r="Y18" s="231"/>
      <c r="Z18" s="231"/>
      <c r="AA18" s="231"/>
      <c r="AB18" s="231"/>
      <c r="AC18" s="231"/>
      <c r="AD18" s="231"/>
      <c r="AE18" s="231"/>
      <c r="AF18" s="231"/>
      <c r="AG18" s="231"/>
      <c r="AH18" s="231"/>
      <c r="AI18" s="231"/>
      <c r="AJ18" s="231"/>
      <c r="AK18" s="231"/>
      <c r="AL18" s="231"/>
      <c r="AM18" s="231"/>
      <c r="AN18" s="231"/>
      <c r="AO18" s="231"/>
      <c r="AP18" s="231"/>
      <c r="AQ18" s="231"/>
      <c r="AR18" s="231"/>
      <c r="AS18" s="231"/>
      <c r="AT18" s="231"/>
      <c r="AU18" s="231"/>
      <c r="AV18" s="231"/>
      <c r="AW18" s="231"/>
      <c r="AX18" s="231"/>
      <c r="AY18" s="231"/>
      <c r="AZ18" s="232"/>
      <c r="BA18" s="15"/>
      <c r="BB18" s="15"/>
      <c r="BC18" s="15"/>
      <c r="BD18" s="15"/>
      <c r="BE18" s="15"/>
      <c r="BF18" s="15"/>
      <c r="BG18" s="15"/>
      <c r="BH18" s="15"/>
      <c r="BI18" s="15"/>
      <c r="BJ18" s="15"/>
      <c r="BK18" s="16"/>
      <c r="BR18" s="13"/>
    </row>
    <row r="19" spans="3:83" ht="15.6" customHeight="1" x14ac:dyDescent="0.4">
      <c r="C19" s="14"/>
      <c r="D19" s="233"/>
      <c r="E19" s="234"/>
      <c r="F19" s="234"/>
      <c r="G19" s="234"/>
      <c r="H19" s="234"/>
      <c r="I19" s="234"/>
      <c r="J19" s="234"/>
      <c r="K19" s="234"/>
      <c r="L19" s="234"/>
      <c r="M19" s="234"/>
      <c r="N19" s="234"/>
      <c r="O19" s="234"/>
      <c r="P19" s="234"/>
      <c r="Q19" s="234"/>
      <c r="R19" s="234"/>
      <c r="S19" s="234"/>
      <c r="T19" s="234"/>
      <c r="U19" s="234"/>
      <c r="V19" s="234"/>
      <c r="W19" s="234"/>
      <c r="X19" s="234"/>
      <c r="Y19" s="234"/>
      <c r="Z19" s="234"/>
      <c r="AA19" s="234"/>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5"/>
      <c r="BA19" s="15"/>
      <c r="BB19" s="15"/>
      <c r="BC19" s="15"/>
      <c r="BD19" s="15"/>
      <c r="BE19" s="15"/>
      <c r="BF19" s="15"/>
      <c r="BG19" s="15"/>
      <c r="BH19" s="15"/>
      <c r="BI19" s="15"/>
      <c r="BJ19" s="15"/>
      <c r="BK19" s="16"/>
      <c r="BR19" s="13"/>
    </row>
    <row r="20" spans="3:83" ht="13.35" customHeight="1" x14ac:dyDescent="0.4">
      <c r="C20" s="14"/>
      <c r="D20" s="236" t="s">
        <v>5</v>
      </c>
      <c r="E20" s="237"/>
      <c r="F20" s="237"/>
      <c r="G20" s="237"/>
      <c r="H20" s="237"/>
      <c r="I20" s="237"/>
      <c r="J20" s="238"/>
      <c r="K20" s="236" t="s">
        <v>6</v>
      </c>
      <c r="L20" s="237"/>
      <c r="M20" s="237"/>
      <c r="N20" s="237"/>
      <c r="O20" s="237"/>
      <c r="P20" s="237"/>
      <c r="Q20" s="238"/>
      <c r="R20" s="236" t="s">
        <v>7</v>
      </c>
      <c r="S20" s="237"/>
      <c r="T20" s="237"/>
      <c r="U20" s="237"/>
      <c r="V20" s="237"/>
      <c r="W20" s="237"/>
      <c r="X20" s="238"/>
      <c r="Y20" s="245" t="s">
        <v>8</v>
      </c>
      <c r="Z20" s="246"/>
      <c r="AA20" s="246"/>
      <c r="AB20" s="246"/>
      <c r="AC20" s="246"/>
      <c r="AD20" s="246"/>
      <c r="AE20" s="246"/>
      <c r="AF20" s="246"/>
      <c r="AG20" s="246"/>
      <c r="AH20" s="246"/>
      <c r="AI20" s="246"/>
      <c r="AJ20" s="246"/>
      <c r="AK20" s="246"/>
      <c r="AL20" s="246"/>
      <c r="AM20" s="246"/>
      <c r="AN20" s="246"/>
      <c r="AO20" s="246"/>
      <c r="AP20" s="246"/>
      <c r="AQ20" s="246"/>
      <c r="AR20" s="246"/>
      <c r="AS20" s="246"/>
      <c r="AT20" s="246"/>
      <c r="AU20" s="246"/>
      <c r="AV20" s="246"/>
      <c r="AW20" s="246"/>
      <c r="AX20" s="246"/>
      <c r="AY20" s="246"/>
      <c r="AZ20" s="247"/>
      <c r="BA20" s="17"/>
      <c r="BB20" s="254" t="s">
        <v>9</v>
      </c>
      <c r="BC20" s="255"/>
      <c r="BD20" s="255"/>
      <c r="BE20" s="255"/>
      <c r="BF20" s="255"/>
      <c r="BG20" s="255"/>
      <c r="BH20" s="255"/>
      <c r="BI20" s="223"/>
      <c r="BJ20" s="224"/>
      <c r="BK20" s="16"/>
      <c r="BR20" s="18"/>
    </row>
    <row r="21" spans="3:83" ht="13.35" customHeight="1" x14ac:dyDescent="0.4">
      <c r="C21" s="14"/>
      <c r="D21" s="239"/>
      <c r="E21" s="240"/>
      <c r="F21" s="240"/>
      <c r="G21" s="240"/>
      <c r="H21" s="240"/>
      <c r="I21" s="240"/>
      <c r="J21" s="241"/>
      <c r="K21" s="239"/>
      <c r="L21" s="240"/>
      <c r="M21" s="240"/>
      <c r="N21" s="240"/>
      <c r="O21" s="240"/>
      <c r="P21" s="240"/>
      <c r="Q21" s="241"/>
      <c r="R21" s="239"/>
      <c r="S21" s="240"/>
      <c r="T21" s="240"/>
      <c r="U21" s="240"/>
      <c r="V21" s="240"/>
      <c r="W21" s="240"/>
      <c r="X21" s="241"/>
      <c r="Y21" s="248"/>
      <c r="Z21" s="249"/>
      <c r="AA21" s="249"/>
      <c r="AB21" s="249"/>
      <c r="AC21" s="249"/>
      <c r="AD21" s="249"/>
      <c r="AE21" s="249"/>
      <c r="AF21" s="249"/>
      <c r="AG21" s="249"/>
      <c r="AH21" s="249"/>
      <c r="AI21" s="249"/>
      <c r="AJ21" s="249"/>
      <c r="AK21" s="249"/>
      <c r="AL21" s="249"/>
      <c r="AM21" s="249"/>
      <c r="AN21" s="249"/>
      <c r="AO21" s="249"/>
      <c r="AP21" s="249"/>
      <c r="AQ21" s="249"/>
      <c r="AR21" s="249"/>
      <c r="AS21" s="249"/>
      <c r="AT21" s="249"/>
      <c r="AU21" s="249"/>
      <c r="AV21" s="249"/>
      <c r="AW21" s="249"/>
      <c r="AX21" s="249"/>
      <c r="AY21" s="249"/>
      <c r="AZ21" s="250"/>
      <c r="BA21" s="17"/>
      <c r="BB21" s="256"/>
      <c r="BC21" s="257"/>
      <c r="BD21" s="257"/>
      <c r="BE21" s="257"/>
      <c r="BF21" s="257"/>
      <c r="BG21" s="257"/>
      <c r="BH21" s="257"/>
      <c r="BI21" s="225"/>
      <c r="BJ21" s="226"/>
      <c r="BK21" s="16"/>
      <c r="BR21" s="18"/>
    </row>
    <row r="22" spans="3:83" ht="13.35" customHeight="1" x14ac:dyDescent="0.4">
      <c r="C22" s="14"/>
      <c r="D22" s="239"/>
      <c r="E22" s="240"/>
      <c r="F22" s="240"/>
      <c r="G22" s="240"/>
      <c r="H22" s="240"/>
      <c r="I22" s="240"/>
      <c r="J22" s="241"/>
      <c r="K22" s="239"/>
      <c r="L22" s="240"/>
      <c r="M22" s="240"/>
      <c r="N22" s="240"/>
      <c r="O22" s="240"/>
      <c r="P22" s="240"/>
      <c r="Q22" s="241"/>
      <c r="R22" s="239"/>
      <c r="S22" s="240"/>
      <c r="T22" s="240"/>
      <c r="U22" s="240"/>
      <c r="V22" s="240"/>
      <c r="W22" s="240"/>
      <c r="X22" s="241"/>
      <c r="Y22" s="251"/>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3"/>
      <c r="BA22" s="19"/>
      <c r="BB22" s="256"/>
      <c r="BC22" s="257"/>
      <c r="BD22" s="257"/>
      <c r="BE22" s="257"/>
      <c r="BF22" s="257"/>
      <c r="BG22" s="257"/>
      <c r="BH22" s="257"/>
      <c r="BI22" s="225"/>
      <c r="BJ22" s="226"/>
      <c r="BK22" s="16"/>
      <c r="BR22" s="18"/>
    </row>
    <row r="23" spans="3:83" ht="31.35" customHeight="1" x14ac:dyDescent="0.4">
      <c r="C23" s="14"/>
      <c r="D23" s="242"/>
      <c r="E23" s="243"/>
      <c r="F23" s="243"/>
      <c r="G23" s="243"/>
      <c r="H23" s="243"/>
      <c r="I23" s="243"/>
      <c r="J23" s="244"/>
      <c r="K23" s="242"/>
      <c r="L23" s="243"/>
      <c r="M23" s="243"/>
      <c r="N23" s="243"/>
      <c r="O23" s="243"/>
      <c r="P23" s="243"/>
      <c r="Q23" s="244"/>
      <c r="R23" s="242"/>
      <c r="S23" s="243"/>
      <c r="T23" s="243"/>
      <c r="U23" s="243"/>
      <c r="V23" s="243"/>
      <c r="W23" s="243"/>
      <c r="X23" s="244"/>
      <c r="Y23" s="260" t="s">
        <v>10</v>
      </c>
      <c r="Z23" s="261"/>
      <c r="AA23" s="261"/>
      <c r="AB23" s="261"/>
      <c r="AC23" s="261"/>
      <c r="AD23" s="261"/>
      <c r="AE23" s="262"/>
      <c r="AF23" s="260" t="s">
        <v>11</v>
      </c>
      <c r="AG23" s="261"/>
      <c r="AH23" s="261"/>
      <c r="AI23" s="261"/>
      <c r="AJ23" s="261"/>
      <c r="AK23" s="261"/>
      <c r="AL23" s="262"/>
      <c r="AM23" s="260" t="s">
        <v>12</v>
      </c>
      <c r="AN23" s="261"/>
      <c r="AO23" s="261"/>
      <c r="AP23" s="261"/>
      <c r="AQ23" s="261"/>
      <c r="AR23" s="261"/>
      <c r="AS23" s="262"/>
      <c r="AT23" s="260" t="s">
        <v>13</v>
      </c>
      <c r="AU23" s="261"/>
      <c r="AV23" s="261"/>
      <c r="AW23" s="261"/>
      <c r="AX23" s="261"/>
      <c r="AY23" s="261"/>
      <c r="AZ23" s="262"/>
      <c r="BA23" s="19"/>
      <c r="BB23" s="258"/>
      <c r="BC23" s="259"/>
      <c r="BD23" s="259"/>
      <c r="BE23" s="259"/>
      <c r="BF23" s="259"/>
      <c r="BG23" s="259"/>
      <c r="BH23" s="259"/>
      <c r="BI23" s="227"/>
      <c r="BJ23" s="228"/>
      <c r="BK23" s="16"/>
      <c r="BR23" s="18"/>
    </row>
    <row r="24" spans="3:83" ht="15.6" customHeight="1" x14ac:dyDescent="0.4">
      <c r="C24" s="14"/>
      <c r="D24" s="121" t="str">
        <f>IF([4]回答表!R41="○","○","")</f>
        <v>○</v>
      </c>
      <c r="E24" s="122"/>
      <c r="F24" s="122"/>
      <c r="G24" s="122"/>
      <c r="H24" s="122"/>
      <c r="I24" s="122"/>
      <c r="J24" s="123"/>
      <c r="K24" s="121" t="str">
        <f>IF([4]回答表!R42="○","○","")</f>
        <v/>
      </c>
      <c r="L24" s="122"/>
      <c r="M24" s="122"/>
      <c r="N24" s="122"/>
      <c r="O24" s="122"/>
      <c r="P24" s="122"/>
      <c r="Q24" s="123"/>
      <c r="R24" s="121" t="str">
        <f>IF([4]回答表!R43="○","○","")</f>
        <v>○</v>
      </c>
      <c r="S24" s="122"/>
      <c r="T24" s="122"/>
      <c r="U24" s="122"/>
      <c r="V24" s="122"/>
      <c r="W24" s="122"/>
      <c r="X24" s="123"/>
      <c r="Y24" s="121" t="str">
        <f>IF([4]回答表!R44="○","○","")</f>
        <v/>
      </c>
      <c r="Z24" s="122"/>
      <c r="AA24" s="122"/>
      <c r="AB24" s="122"/>
      <c r="AC24" s="122"/>
      <c r="AD24" s="122"/>
      <c r="AE24" s="123"/>
      <c r="AF24" s="121" t="str">
        <f>IF([4]回答表!R45="○","○","")</f>
        <v/>
      </c>
      <c r="AG24" s="122"/>
      <c r="AH24" s="122"/>
      <c r="AI24" s="122"/>
      <c r="AJ24" s="122"/>
      <c r="AK24" s="122"/>
      <c r="AL24" s="123"/>
      <c r="AM24" s="121" t="str">
        <f>IF([4]回答表!R46="○","○","")</f>
        <v/>
      </c>
      <c r="AN24" s="122"/>
      <c r="AO24" s="122"/>
      <c r="AP24" s="122"/>
      <c r="AQ24" s="122"/>
      <c r="AR24" s="122"/>
      <c r="AS24" s="123"/>
      <c r="AT24" s="121" t="str">
        <f>IF([4]回答表!R47="○","○","")</f>
        <v/>
      </c>
      <c r="AU24" s="122"/>
      <c r="AV24" s="122"/>
      <c r="AW24" s="122"/>
      <c r="AX24" s="122"/>
      <c r="AY24" s="122"/>
      <c r="AZ24" s="123"/>
      <c r="BA24" s="19"/>
      <c r="BB24" s="118" t="str">
        <f>IF([4]回答表!R48="○","○","")</f>
        <v/>
      </c>
      <c r="BC24" s="119"/>
      <c r="BD24" s="119"/>
      <c r="BE24" s="119"/>
      <c r="BF24" s="119"/>
      <c r="BG24" s="119"/>
      <c r="BH24" s="119"/>
      <c r="BI24" s="223"/>
      <c r="BJ24" s="224"/>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25"/>
      <c r="BJ25" s="226"/>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27"/>
      <c r="BJ26" s="228"/>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IF([4]回答表!X41="○","○","")</f>
        <v/>
      </c>
      <c r="O36" s="98"/>
      <c r="P36" s="98"/>
      <c r="Q36" s="99"/>
      <c r="R36" s="39"/>
      <c r="S36" s="39"/>
      <c r="T36" s="39"/>
      <c r="U36" s="106" t="str">
        <f>IF([4]回答表!X41="○",[4]回答表!B56,IF([4]回答表!AA41="○",[4]回答表!B76,""))</f>
        <v/>
      </c>
      <c r="V36" s="107"/>
      <c r="W36" s="107"/>
      <c r="X36" s="107"/>
      <c r="Y36" s="107"/>
      <c r="Z36" s="107"/>
      <c r="AA36" s="107"/>
      <c r="AB36" s="107"/>
      <c r="AC36" s="107"/>
      <c r="AD36" s="107"/>
      <c r="AE36" s="107"/>
      <c r="AF36" s="107"/>
      <c r="AG36" s="107"/>
      <c r="AH36" s="107"/>
      <c r="AI36" s="107"/>
      <c r="AJ36" s="108"/>
      <c r="AK36" s="50"/>
      <c r="AL36" s="50"/>
      <c r="AM36" s="229" t="s">
        <v>19</v>
      </c>
      <c r="AN36" s="229"/>
      <c r="AO36" s="229"/>
      <c r="AP36" s="229"/>
      <c r="AQ36" s="229"/>
      <c r="AR36" s="229"/>
      <c r="AS36" s="229"/>
      <c r="AT36" s="229"/>
      <c r="AU36" s="229" t="s">
        <v>20</v>
      </c>
      <c r="AV36" s="229"/>
      <c r="AW36" s="229"/>
      <c r="AX36" s="229"/>
      <c r="AY36" s="229"/>
      <c r="AZ36" s="229"/>
      <c r="BA36" s="229"/>
      <c r="BB36" s="229"/>
      <c r="BC36" s="40"/>
      <c r="BD36" s="35"/>
      <c r="BE36" s="115" t="str">
        <f>IF([4]回答表!X41="○",[4]回答表!S62,IF([4]回答表!AA41="○",[4]回答表!S82,""))</f>
        <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29"/>
      <c r="AN37" s="229"/>
      <c r="AO37" s="229"/>
      <c r="AP37" s="229"/>
      <c r="AQ37" s="229"/>
      <c r="AR37" s="229"/>
      <c r="AS37" s="229"/>
      <c r="AT37" s="229"/>
      <c r="AU37" s="229"/>
      <c r="AV37" s="229"/>
      <c r="AW37" s="229"/>
      <c r="AX37" s="229"/>
      <c r="AY37" s="229"/>
      <c r="AZ37" s="229"/>
      <c r="BA37" s="229"/>
      <c r="BB37" s="229"/>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IF([4]回答表!X41="○",[4]回答表!G62,IF([4]回答表!AA41="○",[4]回答表!G82,""))</f>
        <v/>
      </c>
      <c r="AN38" s="119"/>
      <c r="AO38" s="119"/>
      <c r="AP38" s="119"/>
      <c r="AQ38" s="119"/>
      <c r="AR38" s="119"/>
      <c r="AS38" s="119"/>
      <c r="AT38" s="120"/>
      <c r="AU38" s="118" t="str">
        <f>IF([4]回答表!X41="○",[4]回答表!G63,IF([4]回答表!AA41="○",[4]回答表!G83,""))</f>
        <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t="str">
        <f>IF([4]回答表!X41="○",[4]回答表!V62,IF([4]回答表!AA41="○",[4]回答表!V82,""))</f>
        <v/>
      </c>
      <c r="BF39" s="217"/>
      <c r="BG39" s="217"/>
      <c r="BH39" s="218"/>
      <c r="BI39" s="82" t="str">
        <f>IF([4]回答表!X41="○",[4]回答表!V63,IF([4]回答表!AA41="○",[4]回答表!V83,""))</f>
        <v/>
      </c>
      <c r="BJ39" s="217"/>
      <c r="BK39" s="217"/>
      <c r="BL39" s="218"/>
      <c r="BM39" s="82" t="str">
        <f>IF([4]回答表!X41="○",[4]回答表!V64,IF([4]回答表!AA41="○",[4]回答表!V84,""))</f>
        <v/>
      </c>
      <c r="BN39" s="217"/>
      <c r="BO39" s="217"/>
      <c r="BP39" s="218"/>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19"/>
      <c r="BF40" s="217"/>
      <c r="BG40" s="217"/>
      <c r="BH40" s="218"/>
      <c r="BI40" s="219"/>
      <c r="BJ40" s="217"/>
      <c r="BK40" s="217"/>
      <c r="BL40" s="218"/>
      <c r="BM40" s="219"/>
      <c r="BN40" s="217"/>
      <c r="BO40" s="217"/>
      <c r="BP40" s="218"/>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19"/>
      <c r="BF41" s="217"/>
      <c r="BG41" s="217"/>
      <c r="BH41" s="218"/>
      <c r="BI41" s="219"/>
      <c r="BJ41" s="217"/>
      <c r="BK41" s="217"/>
      <c r="BL41" s="218"/>
      <c r="BM41" s="219"/>
      <c r="BN41" s="217"/>
      <c r="BO41" s="217"/>
      <c r="BP41" s="218"/>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215" t="str">
        <f>IF([4]回答表!X41="○",[4]回答表!O68,IF([4]回答表!AA41="○",[4]回答表!O88,""))</f>
        <v/>
      </c>
      <c r="AN42" s="216"/>
      <c r="AO42" s="213" t="s">
        <v>21</v>
      </c>
      <c r="AP42" s="213"/>
      <c r="AQ42" s="213"/>
      <c r="AR42" s="213"/>
      <c r="AS42" s="213"/>
      <c r="AT42" s="213"/>
      <c r="AU42" s="213"/>
      <c r="AV42" s="213"/>
      <c r="AW42" s="213"/>
      <c r="AX42" s="213"/>
      <c r="AY42" s="213"/>
      <c r="AZ42" s="213"/>
      <c r="BA42" s="213"/>
      <c r="BB42" s="214"/>
      <c r="BC42" s="40"/>
      <c r="BD42" s="40"/>
      <c r="BE42" s="219"/>
      <c r="BF42" s="217"/>
      <c r="BG42" s="217"/>
      <c r="BH42" s="218"/>
      <c r="BI42" s="219"/>
      <c r="BJ42" s="217"/>
      <c r="BK42" s="217"/>
      <c r="BL42" s="218"/>
      <c r="BM42" s="219"/>
      <c r="BN42" s="217"/>
      <c r="BO42" s="217"/>
      <c r="BP42" s="218"/>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215" t="str">
        <f>IF([4]回答表!X41="○",[4]回答表!O69,IF([4]回答表!AA41="○",[4]回答表!O89,""))</f>
        <v/>
      </c>
      <c r="AN43" s="216"/>
      <c r="AO43" s="213" t="s">
        <v>22</v>
      </c>
      <c r="AP43" s="213"/>
      <c r="AQ43" s="213"/>
      <c r="AR43" s="213"/>
      <c r="AS43" s="213"/>
      <c r="AT43" s="213"/>
      <c r="AU43" s="213"/>
      <c r="AV43" s="213"/>
      <c r="AW43" s="213"/>
      <c r="AX43" s="213"/>
      <c r="AY43" s="213"/>
      <c r="AZ43" s="213"/>
      <c r="BA43" s="213"/>
      <c r="BB43" s="214"/>
      <c r="BC43" s="40"/>
      <c r="BD43" s="35"/>
      <c r="BE43" s="82" t="s">
        <v>23</v>
      </c>
      <c r="BF43" s="217"/>
      <c r="BG43" s="217"/>
      <c r="BH43" s="218"/>
      <c r="BI43" s="82" t="s">
        <v>24</v>
      </c>
      <c r="BJ43" s="217"/>
      <c r="BK43" s="217"/>
      <c r="BL43" s="218"/>
      <c r="BM43" s="82" t="s">
        <v>25</v>
      </c>
      <c r="BN43" s="217"/>
      <c r="BO43" s="217"/>
      <c r="BP43" s="218"/>
      <c r="BQ43" s="38"/>
      <c r="BR43" s="25"/>
    </row>
    <row r="44" spans="1:70" ht="15.6" customHeight="1" x14ac:dyDescent="0.4">
      <c r="A44" s="25"/>
      <c r="B44" s="25"/>
      <c r="C44" s="33"/>
      <c r="D44" s="140" t="s">
        <v>26</v>
      </c>
      <c r="E44" s="141"/>
      <c r="F44" s="141"/>
      <c r="G44" s="141"/>
      <c r="H44" s="141"/>
      <c r="I44" s="141"/>
      <c r="J44" s="141"/>
      <c r="K44" s="141"/>
      <c r="L44" s="141"/>
      <c r="M44" s="142"/>
      <c r="N44" s="97" t="str">
        <f>IF([4]回答表!AA41="○","○","")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215" t="str">
        <f>IF([4]回答表!X41="○",[4]回答表!O70,IF([4]回答表!AA41="○",[4]回答表!O90,""))</f>
        <v/>
      </c>
      <c r="AN44" s="216"/>
      <c r="AO44" s="213" t="s">
        <v>27</v>
      </c>
      <c r="AP44" s="213"/>
      <c r="AQ44" s="213"/>
      <c r="AR44" s="213"/>
      <c r="AS44" s="213"/>
      <c r="AT44" s="213"/>
      <c r="AU44" s="213"/>
      <c r="AV44" s="213"/>
      <c r="AW44" s="213"/>
      <c r="AX44" s="213"/>
      <c r="AY44" s="213"/>
      <c r="AZ44" s="213"/>
      <c r="BA44" s="213"/>
      <c r="BB44" s="214"/>
      <c r="BC44" s="40"/>
      <c r="BD44" s="54"/>
      <c r="BE44" s="219"/>
      <c r="BF44" s="217"/>
      <c r="BG44" s="217"/>
      <c r="BH44" s="218"/>
      <c r="BI44" s="219"/>
      <c r="BJ44" s="217"/>
      <c r="BK44" s="217"/>
      <c r="BL44" s="218"/>
      <c r="BM44" s="219"/>
      <c r="BN44" s="217"/>
      <c r="BO44" s="217"/>
      <c r="BP44" s="218"/>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215" t="str">
        <f>IF([4]回答表!X41="○",[4]回答表!O71,IF([4]回答表!AA41="○",[4]回答表!O91,""))</f>
        <v/>
      </c>
      <c r="AN45" s="216"/>
      <c r="AO45" s="213" t="s">
        <v>28</v>
      </c>
      <c r="AP45" s="213"/>
      <c r="AQ45" s="213"/>
      <c r="AR45" s="213"/>
      <c r="AS45" s="213"/>
      <c r="AT45" s="213"/>
      <c r="AU45" s="213"/>
      <c r="AV45" s="213"/>
      <c r="AW45" s="213"/>
      <c r="AX45" s="213"/>
      <c r="AY45" s="213"/>
      <c r="AZ45" s="213"/>
      <c r="BA45" s="213"/>
      <c r="BB45" s="214"/>
      <c r="BC45" s="40"/>
      <c r="BD45" s="54"/>
      <c r="BE45" s="220"/>
      <c r="BF45" s="221"/>
      <c r="BG45" s="221"/>
      <c r="BH45" s="222"/>
      <c r="BI45" s="220"/>
      <c r="BJ45" s="221"/>
      <c r="BK45" s="221"/>
      <c r="BL45" s="222"/>
      <c r="BM45" s="220"/>
      <c r="BN45" s="221"/>
      <c r="BO45" s="221"/>
      <c r="BP45" s="222"/>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215" t="str">
        <f>IF([4]回答表!X41="○",[4]回答表!AG68,IF([4]回答表!AA41="○",[4]回答表!AG88,""))</f>
        <v/>
      </c>
      <c r="AN46" s="216"/>
      <c r="AO46" s="213" t="s">
        <v>29</v>
      </c>
      <c r="AP46" s="213"/>
      <c r="AQ46" s="213"/>
      <c r="AR46" s="213"/>
      <c r="AS46" s="213"/>
      <c r="AT46" s="213"/>
      <c r="AU46" s="213"/>
      <c r="AV46" s="213"/>
      <c r="AW46" s="213"/>
      <c r="AX46" s="213"/>
      <c r="AY46" s="213"/>
      <c r="AZ46" s="213"/>
      <c r="BA46" s="213"/>
      <c r="BB46" s="214"/>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215" t="str">
        <f>IF([4]回答表!X41="○",[4]回答表!AG69,IF([4]回答表!AA41="○",[4]回答表!AG89,""))</f>
        <v/>
      </c>
      <c r="AN47" s="216"/>
      <c r="AO47" s="213" t="s">
        <v>30</v>
      </c>
      <c r="AP47" s="213"/>
      <c r="AQ47" s="213"/>
      <c r="AR47" s="213"/>
      <c r="AS47" s="213"/>
      <c r="AT47" s="213"/>
      <c r="AU47" s="213"/>
      <c r="AV47" s="213"/>
      <c r="AW47" s="213"/>
      <c r="AX47" s="213"/>
      <c r="AY47" s="213"/>
      <c r="AZ47" s="213"/>
      <c r="BA47" s="213"/>
      <c r="BB47" s="214"/>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215" t="str">
        <f>IF([4]回答表!X41="○",[4]回答表!AG70,IF([4]回答表!AA41="○",[4]回答表!AG90,""))</f>
        <v/>
      </c>
      <c r="AN48" s="216"/>
      <c r="AO48" s="213" t="s">
        <v>31</v>
      </c>
      <c r="AP48" s="213"/>
      <c r="AQ48" s="213"/>
      <c r="AR48" s="213"/>
      <c r="AS48" s="213"/>
      <c r="AT48" s="213"/>
      <c r="AU48" s="213"/>
      <c r="AV48" s="213"/>
      <c r="AW48" s="213"/>
      <c r="AX48" s="213"/>
      <c r="AY48" s="213"/>
      <c r="AZ48" s="213"/>
      <c r="BA48" s="213"/>
      <c r="BB48" s="214"/>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IF([4]回答表!AD41="○","○","")</f>
        <v>○</v>
      </c>
      <c r="O52" s="98"/>
      <c r="P52" s="98"/>
      <c r="Q52" s="99"/>
      <c r="R52" s="39"/>
      <c r="S52" s="39"/>
      <c r="T52" s="39"/>
      <c r="U52" s="278" t="str">
        <f>IF([4]回答表!AD41="○",[4]回答表!B96,"")</f>
        <v>農業集落排水地域11箇所のうち、10地区について公共接続及び、処理場の廃止を検討している。残り1地区については、集合処理浄化槽への転換を検討している。</v>
      </c>
      <c r="V52" s="279"/>
      <c r="W52" s="279"/>
      <c r="X52" s="279"/>
      <c r="Y52" s="279"/>
      <c r="Z52" s="279"/>
      <c r="AA52" s="279"/>
      <c r="AB52" s="279"/>
      <c r="AC52" s="279"/>
      <c r="AD52" s="279"/>
      <c r="AE52" s="279"/>
      <c r="AF52" s="279"/>
      <c r="AG52" s="279"/>
      <c r="AH52" s="279"/>
      <c r="AI52" s="279"/>
      <c r="AJ52" s="280"/>
      <c r="AK52" s="56"/>
      <c r="AL52" s="56"/>
      <c r="AM52" s="203" t="str">
        <f>IF([4]回答表!AD41="○",[4]回答表!B101,"")</f>
        <v>公共接続・処理場廃止は、秋田県生活排水処理整備構想において平面地図上だけで検討した結果のため、３次元的な接続予定箇所の検討が必要である。また、接続までの管に不明水があるため、区域内の不明水対策が課題となっている。</v>
      </c>
      <c r="AN52" s="204"/>
      <c r="AO52" s="204"/>
      <c r="AP52" s="204"/>
      <c r="AQ52" s="204"/>
      <c r="AR52" s="204"/>
      <c r="AS52" s="204"/>
      <c r="AT52" s="204"/>
      <c r="AU52" s="204"/>
      <c r="AV52" s="204"/>
      <c r="AW52" s="204"/>
      <c r="AX52" s="204"/>
      <c r="AY52" s="204"/>
      <c r="AZ52" s="204"/>
      <c r="BA52" s="204"/>
      <c r="BB52" s="204"/>
      <c r="BC52" s="204"/>
      <c r="BD52" s="204"/>
      <c r="BE52" s="204"/>
      <c r="BF52" s="204"/>
      <c r="BG52" s="204"/>
      <c r="BH52" s="204"/>
      <c r="BI52" s="204"/>
      <c r="BJ52" s="204"/>
      <c r="BK52" s="204"/>
      <c r="BL52" s="204"/>
      <c r="BM52" s="204"/>
      <c r="BN52" s="204"/>
      <c r="BO52" s="204"/>
      <c r="BP52" s="205"/>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281"/>
      <c r="V53" s="282"/>
      <c r="W53" s="282"/>
      <c r="X53" s="282"/>
      <c r="Y53" s="282"/>
      <c r="Z53" s="282"/>
      <c r="AA53" s="282"/>
      <c r="AB53" s="282"/>
      <c r="AC53" s="282"/>
      <c r="AD53" s="282"/>
      <c r="AE53" s="282"/>
      <c r="AF53" s="282"/>
      <c r="AG53" s="282"/>
      <c r="AH53" s="282"/>
      <c r="AI53" s="282"/>
      <c r="AJ53" s="283"/>
      <c r="AK53" s="56"/>
      <c r="AL53" s="56"/>
      <c r="AM53" s="206"/>
      <c r="AN53" s="207"/>
      <c r="AO53" s="207"/>
      <c r="AP53" s="207"/>
      <c r="AQ53" s="207"/>
      <c r="AR53" s="207"/>
      <c r="AS53" s="207"/>
      <c r="AT53" s="207"/>
      <c r="AU53" s="207"/>
      <c r="AV53" s="207"/>
      <c r="AW53" s="207"/>
      <c r="AX53" s="207"/>
      <c r="AY53" s="207"/>
      <c r="AZ53" s="207"/>
      <c r="BA53" s="207"/>
      <c r="BB53" s="207"/>
      <c r="BC53" s="207"/>
      <c r="BD53" s="207"/>
      <c r="BE53" s="207"/>
      <c r="BF53" s="207"/>
      <c r="BG53" s="207"/>
      <c r="BH53" s="207"/>
      <c r="BI53" s="207"/>
      <c r="BJ53" s="207"/>
      <c r="BK53" s="207"/>
      <c r="BL53" s="207"/>
      <c r="BM53" s="207"/>
      <c r="BN53" s="207"/>
      <c r="BO53" s="207"/>
      <c r="BP53" s="208"/>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281"/>
      <c r="V54" s="282"/>
      <c r="W54" s="282"/>
      <c r="X54" s="282"/>
      <c r="Y54" s="282"/>
      <c r="Z54" s="282"/>
      <c r="AA54" s="282"/>
      <c r="AB54" s="282"/>
      <c r="AC54" s="282"/>
      <c r="AD54" s="282"/>
      <c r="AE54" s="282"/>
      <c r="AF54" s="282"/>
      <c r="AG54" s="282"/>
      <c r="AH54" s="282"/>
      <c r="AI54" s="282"/>
      <c r="AJ54" s="283"/>
      <c r="AK54" s="56"/>
      <c r="AL54" s="56"/>
      <c r="AM54" s="206"/>
      <c r="AN54" s="207"/>
      <c r="AO54" s="207"/>
      <c r="AP54" s="207"/>
      <c r="AQ54" s="207"/>
      <c r="AR54" s="207"/>
      <c r="AS54" s="207"/>
      <c r="AT54" s="207"/>
      <c r="AU54" s="207"/>
      <c r="AV54" s="207"/>
      <c r="AW54" s="207"/>
      <c r="AX54" s="207"/>
      <c r="AY54" s="207"/>
      <c r="AZ54" s="207"/>
      <c r="BA54" s="207"/>
      <c r="BB54" s="207"/>
      <c r="BC54" s="207"/>
      <c r="BD54" s="207"/>
      <c r="BE54" s="207"/>
      <c r="BF54" s="207"/>
      <c r="BG54" s="207"/>
      <c r="BH54" s="207"/>
      <c r="BI54" s="207"/>
      <c r="BJ54" s="207"/>
      <c r="BK54" s="207"/>
      <c r="BL54" s="207"/>
      <c r="BM54" s="207"/>
      <c r="BN54" s="207"/>
      <c r="BO54" s="207"/>
      <c r="BP54" s="208"/>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284"/>
      <c r="V55" s="285"/>
      <c r="W55" s="285"/>
      <c r="X55" s="285"/>
      <c r="Y55" s="285"/>
      <c r="Z55" s="285"/>
      <c r="AA55" s="285"/>
      <c r="AB55" s="285"/>
      <c r="AC55" s="285"/>
      <c r="AD55" s="285"/>
      <c r="AE55" s="285"/>
      <c r="AF55" s="285"/>
      <c r="AG55" s="285"/>
      <c r="AH55" s="285"/>
      <c r="AI55" s="285"/>
      <c r="AJ55" s="286"/>
      <c r="AK55" s="56"/>
      <c r="AL55" s="56"/>
      <c r="AM55" s="209"/>
      <c r="AN55" s="210"/>
      <c r="AO55" s="210"/>
      <c r="AP55" s="210"/>
      <c r="AQ55" s="210"/>
      <c r="AR55" s="210"/>
      <c r="AS55" s="210"/>
      <c r="AT55" s="210"/>
      <c r="AU55" s="210"/>
      <c r="AV55" s="210"/>
      <c r="AW55" s="210"/>
      <c r="AX55" s="210"/>
      <c r="AY55" s="210"/>
      <c r="AZ55" s="210"/>
      <c r="BA55" s="210"/>
      <c r="BB55" s="210"/>
      <c r="BC55" s="210"/>
      <c r="BD55" s="210"/>
      <c r="BE55" s="210"/>
      <c r="BF55" s="210"/>
      <c r="BG55" s="210"/>
      <c r="BH55" s="210"/>
      <c r="BI55" s="210"/>
      <c r="BJ55" s="210"/>
      <c r="BK55" s="210"/>
      <c r="BL55" s="210"/>
      <c r="BM55" s="210"/>
      <c r="BN55" s="210"/>
      <c r="BO55" s="210"/>
      <c r="BP55" s="211"/>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IF([4]回答表!X42="○","○","")</f>
        <v/>
      </c>
      <c r="O63" s="98"/>
      <c r="P63" s="98"/>
      <c r="Q63" s="99"/>
      <c r="R63" s="39"/>
      <c r="S63" s="39"/>
      <c r="T63" s="39"/>
      <c r="U63" s="106" t="str">
        <f>IF([4]回答表!X42="○",[4]回答表!B111,IF([4]回答表!AA42="○",[4]回答表!B124,""))</f>
        <v/>
      </c>
      <c r="V63" s="107"/>
      <c r="W63" s="107"/>
      <c r="X63" s="107"/>
      <c r="Y63" s="107"/>
      <c r="Z63" s="107"/>
      <c r="AA63" s="107"/>
      <c r="AB63" s="107"/>
      <c r="AC63" s="107"/>
      <c r="AD63" s="107"/>
      <c r="AE63" s="107"/>
      <c r="AF63" s="107"/>
      <c r="AG63" s="107"/>
      <c r="AH63" s="107"/>
      <c r="AI63" s="107"/>
      <c r="AJ63" s="108"/>
      <c r="AK63" s="50"/>
      <c r="AL63" s="50"/>
      <c r="AM63" s="212" t="s">
        <v>37</v>
      </c>
      <c r="AN63" s="212"/>
      <c r="AO63" s="212"/>
      <c r="AP63" s="212"/>
      <c r="AQ63" s="212"/>
      <c r="AR63" s="212"/>
      <c r="AS63" s="212"/>
      <c r="AT63" s="212"/>
      <c r="AU63" s="212" t="s">
        <v>38</v>
      </c>
      <c r="AV63" s="212"/>
      <c r="AW63" s="212"/>
      <c r="AX63" s="212"/>
      <c r="AY63" s="212"/>
      <c r="AZ63" s="212"/>
      <c r="BA63" s="212"/>
      <c r="BB63" s="212"/>
      <c r="BC63" s="40"/>
      <c r="BD63" s="35"/>
      <c r="BE63" s="115" t="str">
        <f>IF([4]回答表!X42="○",[4]回答表!S117,IF([4]回答表!AA42="○",[4]回答表!S130,""))</f>
        <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212"/>
      <c r="AN64" s="212"/>
      <c r="AO64" s="212"/>
      <c r="AP64" s="212"/>
      <c r="AQ64" s="212"/>
      <c r="AR64" s="212"/>
      <c r="AS64" s="212"/>
      <c r="AT64" s="212"/>
      <c r="AU64" s="212"/>
      <c r="AV64" s="212"/>
      <c r="AW64" s="212"/>
      <c r="AX64" s="212"/>
      <c r="AY64" s="212"/>
      <c r="AZ64" s="212"/>
      <c r="BA64" s="212"/>
      <c r="BB64" s="212"/>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212"/>
      <c r="AN65" s="212"/>
      <c r="AO65" s="212"/>
      <c r="AP65" s="212"/>
      <c r="AQ65" s="212"/>
      <c r="AR65" s="212"/>
      <c r="AS65" s="212"/>
      <c r="AT65" s="212"/>
      <c r="AU65" s="212"/>
      <c r="AV65" s="212"/>
      <c r="AW65" s="212"/>
      <c r="AX65" s="212"/>
      <c r="AY65" s="212"/>
      <c r="AZ65" s="212"/>
      <c r="BA65" s="212"/>
      <c r="BB65" s="212"/>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IF([4]回答表!X42="○",[4]回答表!J117,IF([4]回答表!AA42="○",[4]回答表!J130,""))</f>
        <v/>
      </c>
      <c r="AN66" s="119"/>
      <c r="AO66" s="119"/>
      <c r="AP66" s="119"/>
      <c r="AQ66" s="119"/>
      <c r="AR66" s="119"/>
      <c r="AS66" s="119"/>
      <c r="AT66" s="120"/>
      <c r="AU66" s="118" t="str">
        <f>IF([4]回答表!X42="○",[4]回答表!J118,IF([4]回答表!AA42="○",[4]回答表!J131,""))</f>
        <v/>
      </c>
      <c r="AV66" s="119"/>
      <c r="AW66" s="119"/>
      <c r="AX66" s="119"/>
      <c r="AY66" s="119"/>
      <c r="AZ66" s="119"/>
      <c r="BA66" s="119"/>
      <c r="BB66" s="120"/>
      <c r="BC66" s="40"/>
      <c r="BD66" s="35"/>
      <c r="BE66" s="82" t="str">
        <f>IF([4]回答表!X42="○",[4]回答表!V117,IF([4]回答表!AA42="○",[4]回答表!V130,""))</f>
        <v/>
      </c>
      <c r="BF66" s="83"/>
      <c r="BG66" s="83"/>
      <c r="BH66" s="83"/>
      <c r="BI66" s="82" t="str">
        <f>IF([4]回答表!X42="○",[4]回答表!V118,IF([4]回答表!AA42="○",[4]回答表!V131,""))</f>
        <v/>
      </c>
      <c r="BJ66" s="83"/>
      <c r="BK66" s="83"/>
      <c r="BL66" s="83"/>
      <c r="BM66" s="82" t="str">
        <f>IF([4]回答表!X42="○",[4]回答表!V119,IF([4]回答表!AA42="○",[4]回答表!V132,""))</f>
        <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IF([4]回答表!AA42="○","○","")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IF([4]回答表!AD42="○","○","")</f>
        <v/>
      </c>
      <c r="O75" s="98"/>
      <c r="P75" s="98"/>
      <c r="Q75" s="99"/>
      <c r="R75" s="39"/>
      <c r="S75" s="39"/>
      <c r="T75" s="39"/>
      <c r="U75" s="106" t="str">
        <f>IF([4]回答表!AD42="○",[4]回答表!B137,"")</f>
        <v/>
      </c>
      <c r="V75" s="107"/>
      <c r="W75" s="107"/>
      <c r="X75" s="107"/>
      <c r="Y75" s="107"/>
      <c r="Z75" s="107"/>
      <c r="AA75" s="107"/>
      <c r="AB75" s="107"/>
      <c r="AC75" s="107"/>
      <c r="AD75" s="107"/>
      <c r="AE75" s="107"/>
      <c r="AF75" s="107"/>
      <c r="AG75" s="107"/>
      <c r="AH75" s="107"/>
      <c r="AI75" s="107"/>
      <c r="AJ75" s="108"/>
      <c r="AK75" s="56"/>
      <c r="AL75" s="56"/>
      <c r="AM75" s="106" t="str">
        <f>IF([4]回答表!AD42="○",[4]回答表!B143,"")</f>
        <v/>
      </c>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8"/>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109"/>
      <c r="V76" s="110"/>
      <c r="W76" s="110"/>
      <c r="X76" s="110"/>
      <c r="Y76" s="110"/>
      <c r="Z76" s="110"/>
      <c r="AA76" s="110"/>
      <c r="AB76" s="110"/>
      <c r="AC76" s="110"/>
      <c r="AD76" s="110"/>
      <c r="AE76" s="110"/>
      <c r="AF76" s="110"/>
      <c r="AG76" s="110"/>
      <c r="AH76" s="110"/>
      <c r="AI76" s="110"/>
      <c r="AJ76" s="111"/>
      <c r="AK76" s="56"/>
      <c r="AL76" s="56"/>
      <c r="AM76" s="109"/>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1"/>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109"/>
      <c r="V77" s="110"/>
      <c r="W77" s="110"/>
      <c r="X77" s="110"/>
      <c r="Y77" s="110"/>
      <c r="Z77" s="110"/>
      <c r="AA77" s="110"/>
      <c r="AB77" s="110"/>
      <c r="AC77" s="110"/>
      <c r="AD77" s="110"/>
      <c r="AE77" s="110"/>
      <c r="AF77" s="110"/>
      <c r="AG77" s="110"/>
      <c r="AH77" s="110"/>
      <c r="AI77" s="110"/>
      <c r="AJ77" s="111"/>
      <c r="AK77" s="56"/>
      <c r="AL77" s="56"/>
      <c r="AM77" s="109"/>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1"/>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112"/>
      <c r="V78" s="113"/>
      <c r="W78" s="113"/>
      <c r="X78" s="113"/>
      <c r="Y78" s="113"/>
      <c r="Z78" s="113"/>
      <c r="AA78" s="113"/>
      <c r="AB78" s="113"/>
      <c r="AC78" s="113"/>
      <c r="AD78" s="113"/>
      <c r="AE78" s="113"/>
      <c r="AF78" s="113"/>
      <c r="AG78" s="113"/>
      <c r="AH78" s="113"/>
      <c r="AI78" s="113"/>
      <c r="AJ78" s="114"/>
      <c r="AK78" s="56"/>
      <c r="AL78" s="56"/>
      <c r="AM78" s="112"/>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4"/>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62"/>
      <c r="AS81" s="162"/>
      <c r="AT81" s="162"/>
      <c r="AU81" s="162"/>
      <c r="AV81" s="162"/>
      <c r="AW81" s="162"/>
      <c r="AX81" s="162"/>
      <c r="AY81" s="162"/>
      <c r="AZ81" s="162"/>
      <c r="BA81" s="162"/>
      <c r="BB81" s="162"/>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87"/>
      <c r="AS82" s="187"/>
      <c r="AT82" s="187"/>
      <c r="AU82" s="187"/>
      <c r="AV82" s="187"/>
      <c r="AW82" s="187"/>
      <c r="AX82" s="187"/>
      <c r="AY82" s="187"/>
      <c r="AZ82" s="187"/>
      <c r="BA82" s="187"/>
      <c r="BB82" s="187"/>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81" t="s">
        <v>18</v>
      </c>
      <c r="E87" s="181"/>
      <c r="F87" s="181"/>
      <c r="G87" s="181"/>
      <c r="H87" s="181"/>
      <c r="I87" s="181"/>
      <c r="J87" s="181"/>
      <c r="K87" s="181"/>
      <c r="L87" s="181"/>
      <c r="M87" s="181"/>
      <c r="N87" s="97" t="str">
        <f>IF([4]回答表!F17="水道事業",IF([4]回答表!X43="○","○",""),"")</f>
        <v/>
      </c>
      <c r="O87" s="98"/>
      <c r="P87" s="98"/>
      <c r="Q87" s="99"/>
      <c r="R87" s="39"/>
      <c r="S87" s="39"/>
      <c r="T87" s="39"/>
      <c r="U87" s="188" t="s">
        <v>41</v>
      </c>
      <c r="V87" s="189"/>
      <c r="W87" s="189"/>
      <c r="X87" s="189"/>
      <c r="Y87" s="189"/>
      <c r="Z87" s="189"/>
      <c r="AA87" s="189"/>
      <c r="AB87" s="189"/>
      <c r="AC87" s="188" t="s">
        <v>42</v>
      </c>
      <c r="AD87" s="189"/>
      <c r="AE87" s="189"/>
      <c r="AF87" s="189"/>
      <c r="AG87" s="189"/>
      <c r="AH87" s="189"/>
      <c r="AI87" s="189"/>
      <c r="AJ87" s="198"/>
      <c r="AK87" s="50"/>
      <c r="AL87" s="50"/>
      <c r="AM87" s="106" t="str">
        <f>IF([4]回答表!F17="水道事業",IF([4]回答表!X43="○",[4]回答表!B154,IF([4]回答表!AA43="○",[4]回答表!B201,"")),"")</f>
        <v/>
      </c>
      <c r="AN87" s="107"/>
      <c r="AO87" s="107"/>
      <c r="AP87" s="107"/>
      <c r="AQ87" s="107"/>
      <c r="AR87" s="107"/>
      <c r="AS87" s="107"/>
      <c r="AT87" s="107"/>
      <c r="AU87" s="107"/>
      <c r="AV87" s="107"/>
      <c r="AW87" s="107"/>
      <c r="AX87" s="107"/>
      <c r="AY87" s="107"/>
      <c r="AZ87" s="107"/>
      <c r="BA87" s="107"/>
      <c r="BB87" s="108"/>
      <c r="BC87" s="40"/>
      <c r="BD87" s="35"/>
      <c r="BE87" s="115" t="str">
        <f>IF([4]回答表!F17="水道事業",IF([4]回答表!X43="○",[4]回答表!B190,IF([4]回答表!AA43="○",[4]回答表!B238,"")),"")</f>
        <v/>
      </c>
      <c r="BF87" s="116"/>
      <c r="BG87" s="116"/>
      <c r="BH87" s="116"/>
      <c r="BI87" s="115"/>
      <c r="BJ87" s="116"/>
      <c r="BK87" s="116"/>
      <c r="BL87" s="116"/>
      <c r="BM87" s="115"/>
      <c r="BN87" s="116"/>
      <c r="BO87" s="116"/>
      <c r="BP87" s="117"/>
      <c r="BQ87" s="38"/>
    </row>
    <row r="88" spans="3:69" ht="19.350000000000001" customHeight="1" x14ac:dyDescent="0.4">
      <c r="C88" s="33"/>
      <c r="D88" s="181"/>
      <c r="E88" s="181"/>
      <c r="F88" s="181"/>
      <c r="G88" s="181"/>
      <c r="H88" s="181"/>
      <c r="I88" s="181"/>
      <c r="J88" s="181"/>
      <c r="K88" s="181"/>
      <c r="L88" s="181"/>
      <c r="M88" s="181"/>
      <c r="N88" s="100"/>
      <c r="O88" s="101"/>
      <c r="P88" s="101"/>
      <c r="Q88" s="102"/>
      <c r="R88" s="39"/>
      <c r="S88" s="39"/>
      <c r="T88" s="39"/>
      <c r="U88" s="190"/>
      <c r="V88" s="191"/>
      <c r="W88" s="191"/>
      <c r="X88" s="191"/>
      <c r="Y88" s="191"/>
      <c r="Z88" s="191"/>
      <c r="AA88" s="191"/>
      <c r="AB88" s="191"/>
      <c r="AC88" s="190"/>
      <c r="AD88" s="191"/>
      <c r="AE88" s="191"/>
      <c r="AF88" s="191"/>
      <c r="AG88" s="191"/>
      <c r="AH88" s="191"/>
      <c r="AI88" s="191"/>
      <c r="AJ88" s="199"/>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81"/>
      <c r="E89" s="181"/>
      <c r="F89" s="181"/>
      <c r="G89" s="181"/>
      <c r="H89" s="181"/>
      <c r="I89" s="181"/>
      <c r="J89" s="181"/>
      <c r="K89" s="181"/>
      <c r="L89" s="181"/>
      <c r="M89" s="181"/>
      <c r="N89" s="100"/>
      <c r="O89" s="101"/>
      <c r="P89" s="101"/>
      <c r="Q89" s="102"/>
      <c r="R89" s="39"/>
      <c r="S89" s="39"/>
      <c r="T89" s="39"/>
      <c r="U89" s="118" t="str">
        <f>IF([4]回答表!F17="水道事業",IF([4]回答表!X43="○",[4]回答表!J162,IF([4]回答表!AA43="○",[4]回答表!J209,"")),"")</f>
        <v/>
      </c>
      <c r="V89" s="119"/>
      <c r="W89" s="119"/>
      <c r="X89" s="119"/>
      <c r="Y89" s="119"/>
      <c r="Z89" s="119"/>
      <c r="AA89" s="119"/>
      <c r="AB89" s="120"/>
      <c r="AC89" s="118" t="str">
        <f>IF([4]回答表!F17="水道事業",IF([4]回答表!X43="○",[4]回答表!J169,IF([4]回答表!AA43="○",[4]回答表!J216,"")),"")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81"/>
      <c r="E90" s="181"/>
      <c r="F90" s="181"/>
      <c r="G90" s="181"/>
      <c r="H90" s="181"/>
      <c r="I90" s="181"/>
      <c r="J90" s="181"/>
      <c r="K90" s="181"/>
      <c r="L90" s="181"/>
      <c r="M90" s="181"/>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IF([4]回答表!F17="水道事業",IF([4]回答表!X43="○",[4]回答表!E190,IF([4]回答表!AA43="○",[4]回答表!E238,"")),"")</f>
        <v/>
      </c>
      <c r="BF90" s="83"/>
      <c r="BG90" s="83"/>
      <c r="BH90" s="83"/>
      <c r="BI90" s="82" t="str">
        <f>IF([4]回答表!F17="水道事業",IF([4]回答表!X43="○",[4]回答表!E191,IF([4]回答表!AA43="○",[4]回答表!E239,"")),"")</f>
        <v/>
      </c>
      <c r="BJ90" s="83"/>
      <c r="BK90" s="83"/>
      <c r="BL90" s="83"/>
      <c r="BM90" s="82" t="str">
        <f>IF([4]回答表!F17="水道事業",IF([4]回答表!X43="○",[4]回答表!E192,IF([4]回答表!AA43="○",[4]回答表!E240,"")),"")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88" t="s">
        <v>43</v>
      </c>
      <c r="V92" s="189"/>
      <c r="W92" s="189"/>
      <c r="X92" s="189"/>
      <c r="Y92" s="189"/>
      <c r="Z92" s="189"/>
      <c r="AA92" s="189"/>
      <c r="AB92" s="189"/>
      <c r="AC92" s="188" t="s">
        <v>44</v>
      </c>
      <c r="AD92" s="189"/>
      <c r="AE92" s="189"/>
      <c r="AF92" s="189"/>
      <c r="AG92" s="189"/>
      <c r="AH92" s="189"/>
      <c r="AI92" s="189"/>
      <c r="AJ92" s="198"/>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86" t="s">
        <v>26</v>
      </c>
      <c r="E93" s="181"/>
      <c r="F93" s="181"/>
      <c r="G93" s="181"/>
      <c r="H93" s="181"/>
      <c r="I93" s="181"/>
      <c r="J93" s="181"/>
      <c r="K93" s="181"/>
      <c r="L93" s="181"/>
      <c r="M93" s="182"/>
      <c r="N93" s="97" t="str">
        <f>IF([4]回答表!F17="水道事業",IF([4]回答表!AA43="○","○",""),"")</f>
        <v/>
      </c>
      <c r="O93" s="98"/>
      <c r="P93" s="98"/>
      <c r="Q93" s="99"/>
      <c r="R93" s="39"/>
      <c r="S93" s="39"/>
      <c r="T93" s="39"/>
      <c r="U93" s="190"/>
      <c r="V93" s="191"/>
      <c r="W93" s="191"/>
      <c r="X93" s="191"/>
      <c r="Y93" s="191"/>
      <c r="Z93" s="191"/>
      <c r="AA93" s="191"/>
      <c r="AB93" s="191"/>
      <c r="AC93" s="190"/>
      <c r="AD93" s="191"/>
      <c r="AE93" s="191"/>
      <c r="AF93" s="191"/>
      <c r="AG93" s="191"/>
      <c r="AH93" s="191"/>
      <c r="AI93" s="191"/>
      <c r="AJ93" s="199"/>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81"/>
      <c r="E94" s="181"/>
      <c r="F94" s="181"/>
      <c r="G94" s="181"/>
      <c r="H94" s="181"/>
      <c r="I94" s="181"/>
      <c r="J94" s="181"/>
      <c r="K94" s="181"/>
      <c r="L94" s="181"/>
      <c r="M94" s="182"/>
      <c r="N94" s="100"/>
      <c r="O94" s="101"/>
      <c r="P94" s="101"/>
      <c r="Q94" s="102"/>
      <c r="R94" s="39"/>
      <c r="S94" s="39"/>
      <c r="T94" s="39"/>
      <c r="U94" s="118" t="str">
        <f>IF([4]回答表!F17="水道事業",IF([4]回答表!X43="○",[4]回答表!J172,IF([4]回答表!AA43="○",[4]回答表!J219,"")),"")</f>
        <v/>
      </c>
      <c r="V94" s="119"/>
      <c r="W94" s="119"/>
      <c r="X94" s="119"/>
      <c r="Y94" s="119"/>
      <c r="Z94" s="119"/>
      <c r="AA94" s="119"/>
      <c r="AB94" s="120"/>
      <c r="AC94" s="118" t="str">
        <f>IF([4]回答表!F17="水道事業",IF([4]回答表!X43="○",[4]回答表!J176,IF([4]回答表!AA43="○",[4]回答表!J223,"")),"")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81"/>
      <c r="E95" s="181"/>
      <c r="F95" s="181"/>
      <c r="G95" s="181"/>
      <c r="H95" s="181"/>
      <c r="I95" s="181"/>
      <c r="J95" s="181"/>
      <c r="K95" s="181"/>
      <c r="L95" s="181"/>
      <c r="M95" s="182"/>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81"/>
      <c r="E96" s="181"/>
      <c r="F96" s="181"/>
      <c r="G96" s="181"/>
      <c r="H96" s="181"/>
      <c r="I96" s="181"/>
      <c r="J96" s="181"/>
      <c r="K96" s="181"/>
      <c r="L96" s="181"/>
      <c r="M96" s="182"/>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81" t="s">
        <v>34</v>
      </c>
      <c r="E99" s="181"/>
      <c r="F99" s="181"/>
      <c r="G99" s="181"/>
      <c r="H99" s="181"/>
      <c r="I99" s="181"/>
      <c r="J99" s="181"/>
      <c r="K99" s="181"/>
      <c r="L99" s="181"/>
      <c r="M99" s="182"/>
      <c r="N99" s="97" t="str">
        <f>IF([4]回答表!F17="水道事業",IF([4]回答表!AD43="○","○",""),"")</f>
        <v/>
      </c>
      <c r="O99" s="98"/>
      <c r="P99" s="98"/>
      <c r="Q99" s="99"/>
      <c r="R99" s="39"/>
      <c r="S99" s="39"/>
      <c r="T99" s="39"/>
      <c r="U99" s="106" t="str">
        <f>IF([4]回答表!F17="水道事業",IF([4]回答表!AD43="○",[4]回答表!B249,""),"")</f>
        <v/>
      </c>
      <c r="V99" s="107"/>
      <c r="W99" s="107"/>
      <c r="X99" s="107"/>
      <c r="Y99" s="107"/>
      <c r="Z99" s="107"/>
      <c r="AA99" s="107"/>
      <c r="AB99" s="107"/>
      <c r="AC99" s="107"/>
      <c r="AD99" s="107"/>
      <c r="AE99" s="107"/>
      <c r="AF99" s="107"/>
      <c r="AG99" s="107"/>
      <c r="AH99" s="107"/>
      <c r="AI99" s="107"/>
      <c r="AJ99" s="108"/>
      <c r="AK99" s="56"/>
      <c r="AL99" s="56"/>
      <c r="AM99" s="106" t="str">
        <f>IF([4]回答表!F17="水道事業",IF([4]回答表!AD43="○",[4]回答表!B255,""),"")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81"/>
      <c r="E100" s="181"/>
      <c r="F100" s="181"/>
      <c r="G100" s="181"/>
      <c r="H100" s="181"/>
      <c r="I100" s="181"/>
      <c r="J100" s="181"/>
      <c r="K100" s="181"/>
      <c r="L100" s="181"/>
      <c r="M100" s="182"/>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81"/>
      <c r="E101" s="181"/>
      <c r="F101" s="181"/>
      <c r="G101" s="181"/>
      <c r="H101" s="181"/>
      <c r="I101" s="181"/>
      <c r="J101" s="181"/>
      <c r="K101" s="181"/>
      <c r="L101" s="181"/>
      <c r="M101" s="182"/>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81"/>
      <c r="E102" s="181"/>
      <c r="F102" s="181"/>
      <c r="G102" s="181"/>
      <c r="H102" s="181"/>
      <c r="I102" s="181"/>
      <c r="J102" s="181"/>
      <c r="K102" s="181"/>
      <c r="L102" s="181"/>
      <c r="M102" s="182"/>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62"/>
      <c r="AS105" s="162"/>
      <c r="AT105" s="162"/>
      <c r="AU105" s="162"/>
      <c r="AV105" s="162"/>
      <c r="AW105" s="162"/>
      <c r="AX105" s="162"/>
      <c r="AY105" s="162"/>
      <c r="AZ105" s="162"/>
      <c r="BA105" s="162"/>
      <c r="BB105" s="162"/>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87"/>
      <c r="AS106" s="187"/>
      <c r="AT106" s="187"/>
      <c r="AU106" s="187"/>
      <c r="AV106" s="187"/>
      <c r="AW106" s="187"/>
      <c r="AX106" s="187"/>
      <c r="AY106" s="187"/>
      <c r="AZ106" s="187"/>
      <c r="BA106" s="187"/>
      <c r="BB106" s="187"/>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81" t="s">
        <v>18</v>
      </c>
      <c r="E111" s="181"/>
      <c r="F111" s="181"/>
      <c r="G111" s="181"/>
      <c r="H111" s="181"/>
      <c r="I111" s="181"/>
      <c r="J111" s="181"/>
      <c r="K111" s="181"/>
      <c r="L111" s="181"/>
      <c r="M111" s="181"/>
      <c r="N111" s="97" t="str">
        <f>IF([4]回答表!F17="簡易水道事業",IF([4]回答表!X43="○","○",""),"")</f>
        <v/>
      </c>
      <c r="O111" s="98"/>
      <c r="P111" s="98"/>
      <c r="Q111" s="99"/>
      <c r="R111" s="39"/>
      <c r="S111" s="39"/>
      <c r="T111" s="39"/>
      <c r="U111" s="188" t="s">
        <v>46</v>
      </c>
      <c r="V111" s="189"/>
      <c r="W111" s="189"/>
      <c r="X111" s="189"/>
      <c r="Y111" s="189"/>
      <c r="Z111" s="189"/>
      <c r="AA111" s="189"/>
      <c r="AB111" s="189"/>
      <c r="AC111" s="189"/>
      <c r="AD111" s="189"/>
      <c r="AE111" s="189"/>
      <c r="AF111" s="189"/>
      <c r="AG111" s="189"/>
      <c r="AH111" s="189"/>
      <c r="AI111" s="189"/>
      <c r="AJ111" s="198"/>
      <c r="AK111" s="50"/>
      <c r="AL111" s="50"/>
      <c r="AM111" s="106" t="str">
        <f>IF([4]回答表!F17="簡易水道事業",IF([4]回答表!X43="○",[4]回答表!B154,IF([4]回答表!AA43="○",[4]回答表!B201,"")),"")</f>
        <v/>
      </c>
      <c r="AN111" s="107"/>
      <c r="AO111" s="107"/>
      <c r="AP111" s="107"/>
      <c r="AQ111" s="107"/>
      <c r="AR111" s="107"/>
      <c r="AS111" s="107"/>
      <c r="AT111" s="107"/>
      <c r="AU111" s="107"/>
      <c r="AV111" s="107"/>
      <c r="AW111" s="107"/>
      <c r="AX111" s="107"/>
      <c r="AY111" s="107"/>
      <c r="AZ111" s="107"/>
      <c r="BA111" s="107"/>
      <c r="BB111" s="108"/>
      <c r="BC111" s="40"/>
      <c r="BD111" s="35"/>
      <c r="BE111" s="115" t="str">
        <f>IF([4]回答表!F17="簡易水道事業",IF([4]回答表!X43="○",[4]回答表!B190,IF([4]回答表!AA43="○",[4]回答表!B238,"")),"")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81"/>
      <c r="E112" s="181"/>
      <c r="F112" s="181"/>
      <c r="G112" s="181"/>
      <c r="H112" s="181"/>
      <c r="I112" s="181"/>
      <c r="J112" s="181"/>
      <c r="K112" s="181"/>
      <c r="L112" s="181"/>
      <c r="M112" s="181"/>
      <c r="N112" s="100"/>
      <c r="O112" s="101"/>
      <c r="P112" s="101"/>
      <c r="Q112" s="102"/>
      <c r="R112" s="39"/>
      <c r="S112" s="39"/>
      <c r="T112" s="39"/>
      <c r="U112" s="200"/>
      <c r="V112" s="201"/>
      <c r="W112" s="201"/>
      <c r="X112" s="201"/>
      <c r="Y112" s="201"/>
      <c r="Z112" s="201"/>
      <c r="AA112" s="201"/>
      <c r="AB112" s="201"/>
      <c r="AC112" s="201"/>
      <c r="AD112" s="201"/>
      <c r="AE112" s="201"/>
      <c r="AF112" s="201"/>
      <c r="AG112" s="201"/>
      <c r="AH112" s="201"/>
      <c r="AI112" s="201"/>
      <c r="AJ112" s="202"/>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81"/>
      <c r="E113" s="181"/>
      <c r="F113" s="181"/>
      <c r="G113" s="181"/>
      <c r="H113" s="181"/>
      <c r="I113" s="181"/>
      <c r="J113" s="181"/>
      <c r="K113" s="181"/>
      <c r="L113" s="181"/>
      <c r="M113" s="181"/>
      <c r="N113" s="100"/>
      <c r="O113" s="101"/>
      <c r="P113" s="101"/>
      <c r="Q113" s="102"/>
      <c r="R113" s="39"/>
      <c r="S113" s="39"/>
      <c r="T113" s="39"/>
      <c r="U113" s="118" t="str">
        <f>IF([4]回答表!F17="簡易水道事業",IF([4]回答表!X43="○",[4]回答表!Y181,IF([4]回答表!AA43="○",[4]回答表!Y229,"")),"")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81"/>
      <c r="E114" s="181"/>
      <c r="F114" s="181"/>
      <c r="G114" s="181"/>
      <c r="H114" s="181"/>
      <c r="I114" s="181"/>
      <c r="J114" s="181"/>
      <c r="K114" s="181"/>
      <c r="L114" s="181"/>
      <c r="M114" s="181"/>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IF([4]回答表!F17="簡易水道事業",IF([4]回答表!X43="○",[4]回答表!E190,IF([4]回答表!AA43="○",[4]回答表!E238,"")),"")</f>
        <v/>
      </c>
      <c r="BF114" s="83"/>
      <c r="BG114" s="83"/>
      <c r="BH114" s="83"/>
      <c r="BI114" s="82" t="str">
        <f>IF([4]回答表!F17="簡易水道事業",IF([4]回答表!X43="○",[4]回答表!E191,IF([4]回答表!AA43="○",[4]回答表!E239,"")),"")</f>
        <v/>
      </c>
      <c r="BJ114" s="83"/>
      <c r="BK114" s="83"/>
      <c r="BL114" s="83"/>
      <c r="BM114" s="82" t="str">
        <f>IF([4]回答表!F17="簡易水道事業",IF([4]回答表!X43="○",[4]回答表!E192,IF([4]回答表!AA43="○",[4]回答表!E240,"")),"")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88" t="s">
        <v>47</v>
      </c>
      <c r="V116" s="189"/>
      <c r="W116" s="189"/>
      <c r="X116" s="189"/>
      <c r="Y116" s="189"/>
      <c r="Z116" s="189"/>
      <c r="AA116" s="189"/>
      <c r="AB116" s="189"/>
      <c r="AC116" s="189"/>
      <c r="AD116" s="189"/>
      <c r="AE116" s="189"/>
      <c r="AF116" s="189"/>
      <c r="AG116" s="189"/>
      <c r="AH116" s="189"/>
      <c r="AI116" s="189"/>
      <c r="AJ116" s="198"/>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86" t="s">
        <v>26</v>
      </c>
      <c r="E117" s="181"/>
      <c r="F117" s="181"/>
      <c r="G117" s="181"/>
      <c r="H117" s="181"/>
      <c r="I117" s="181"/>
      <c r="J117" s="181"/>
      <c r="K117" s="181"/>
      <c r="L117" s="181"/>
      <c r="M117" s="182"/>
      <c r="N117" s="97" t="str">
        <f>IF([4]回答表!F17="簡易水道事業",IF([4]回答表!AA43="○","○",""),"")</f>
        <v/>
      </c>
      <c r="O117" s="98"/>
      <c r="P117" s="98"/>
      <c r="Q117" s="99"/>
      <c r="R117" s="39"/>
      <c r="S117" s="39"/>
      <c r="T117" s="39"/>
      <c r="U117" s="200"/>
      <c r="V117" s="201"/>
      <c r="W117" s="201"/>
      <c r="X117" s="201"/>
      <c r="Y117" s="201"/>
      <c r="Z117" s="201"/>
      <c r="AA117" s="201"/>
      <c r="AB117" s="201"/>
      <c r="AC117" s="201"/>
      <c r="AD117" s="201"/>
      <c r="AE117" s="201"/>
      <c r="AF117" s="201"/>
      <c r="AG117" s="201"/>
      <c r="AH117" s="201"/>
      <c r="AI117" s="201"/>
      <c r="AJ117" s="202"/>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81"/>
      <c r="E118" s="181"/>
      <c r="F118" s="181"/>
      <c r="G118" s="181"/>
      <c r="H118" s="181"/>
      <c r="I118" s="181"/>
      <c r="J118" s="181"/>
      <c r="K118" s="181"/>
      <c r="L118" s="181"/>
      <c r="M118" s="182"/>
      <c r="N118" s="100"/>
      <c r="O118" s="101"/>
      <c r="P118" s="101"/>
      <c r="Q118" s="102"/>
      <c r="R118" s="39"/>
      <c r="S118" s="39"/>
      <c r="T118" s="39"/>
      <c r="U118" s="118" t="str">
        <f>IF([4]回答表!F17="簡易水道事業",IF([4]回答表!X43="○",[4]回答表!Y182,IF([4]回答表!AA43="○",[4]回答表!Y230,"")),"")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81"/>
      <c r="E119" s="181"/>
      <c r="F119" s="181"/>
      <c r="G119" s="181"/>
      <c r="H119" s="181"/>
      <c r="I119" s="181"/>
      <c r="J119" s="181"/>
      <c r="K119" s="181"/>
      <c r="L119" s="181"/>
      <c r="M119" s="182"/>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81"/>
      <c r="E120" s="181"/>
      <c r="F120" s="181"/>
      <c r="G120" s="181"/>
      <c r="H120" s="181"/>
      <c r="I120" s="181"/>
      <c r="J120" s="181"/>
      <c r="K120" s="181"/>
      <c r="L120" s="181"/>
      <c r="M120" s="182"/>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81" t="s">
        <v>34</v>
      </c>
      <c r="E123" s="181"/>
      <c r="F123" s="181"/>
      <c r="G123" s="181"/>
      <c r="H123" s="181"/>
      <c r="I123" s="181"/>
      <c r="J123" s="181"/>
      <c r="K123" s="181"/>
      <c r="L123" s="181"/>
      <c r="M123" s="182"/>
      <c r="N123" s="97" t="str">
        <f>IF([4]回答表!F17="簡易水道事業",IF([4]回答表!AD43="○","○",""),"")</f>
        <v/>
      </c>
      <c r="O123" s="98"/>
      <c r="P123" s="98"/>
      <c r="Q123" s="99"/>
      <c r="R123" s="39"/>
      <c r="S123" s="39"/>
      <c r="T123" s="39"/>
      <c r="U123" s="106" t="str">
        <f>IF([4]回答表!F17="簡易水道事業",IF([4]回答表!AD43="○",[4]回答表!B249,""),"")</f>
        <v/>
      </c>
      <c r="V123" s="107"/>
      <c r="W123" s="107"/>
      <c r="X123" s="107"/>
      <c r="Y123" s="107"/>
      <c r="Z123" s="107"/>
      <c r="AA123" s="107"/>
      <c r="AB123" s="107"/>
      <c r="AC123" s="107"/>
      <c r="AD123" s="107"/>
      <c r="AE123" s="107"/>
      <c r="AF123" s="107"/>
      <c r="AG123" s="107"/>
      <c r="AH123" s="107"/>
      <c r="AI123" s="107"/>
      <c r="AJ123" s="108"/>
      <c r="AK123" s="56"/>
      <c r="AL123" s="56"/>
      <c r="AM123" s="106" t="str">
        <f>IF([4]回答表!F17="簡易水道事業",IF([4]回答表!AD43="○",[4]回答表!B255,""),"")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81"/>
      <c r="E124" s="181"/>
      <c r="F124" s="181"/>
      <c r="G124" s="181"/>
      <c r="H124" s="181"/>
      <c r="I124" s="181"/>
      <c r="J124" s="181"/>
      <c r="K124" s="181"/>
      <c r="L124" s="181"/>
      <c r="M124" s="182"/>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81"/>
      <c r="E125" s="181"/>
      <c r="F125" s="181"/>
      <c r="G125" s="181"/>
      <c r="H125" s="181"/>
      <c r="I125" s="181"/>
      <c r="J125" s="181"/>
      <c r="K125" s="181"/>
      <c r="L125" s="181"/>
      <c r="M125" s="182"/>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81"/>
      <c r="E126" s="181"/>
      <c r="F126" s="181"/>
      <c r="G126" s="181"/>
      <c r="H126" s="181"/>
      <c r="I126" s="181"/>
      <c r="J126" s="181"/>
      <c r="K126" s="181"/>
      <c r="L126" s="181"/>
      <c r="M126" s="182"/>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62"/>
      <c r="AS129" s="162"/>
      <c r="AT129" s="162"/>
      <c r="AU129" s="162"/>
      <c r="AV129" s="162"/>
      <c r="AW129" s="162"/>
      <c r="AX129" s="162"/>
      <c r="AY129" s="162"/>
      <c r="AZ129" s="162"/>
      <c r="BA129" s="162"/>
      <c r="BB129" s="162"/>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87"/>
      <c r="AS130" s="187"/>
      <c r="AT130" s="187"/>
      <c r="AU130" s="187"/>
      <c r="AV130" s="187"/>
      <c r="AW130" s="187"/>
      <c r="AX130" s="187"/>
      <c r="AY130" s="187"/>
      <c r="AZ130" s="187"/>
      <c r="BA130" s="187"/>
      <c r="BB130" s="187"/>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81" t="s">
        <v>18</v>
      </c>
      <c r="E135" s="181"/>
      <c r="F135" s="181"/>
      <c r="G135" s="181"/>
      <c r="H135" s="181"/>
      <c r="I135" s="181"/>
      <c r="J135" s="181"/>
      <c r="K135" s="181"/>
      <c r="L135" s="181"/>
      <c r="M135" s="181"/>
      <c r="N135" s="97" t="str">
        <f>IF([4]回答表!F17="下水道事業",IF([4]回答表!X43="○","○",""),"")</f>
        <v/>
      </c>
      <c r="O135" s="98"/>
      <c r="P135" s="98"/>
      <c r="Q135" s="99"/>
      <c r="R135" s="39"/>
      <c r="S135" s="39"/>
      <c r="T135" s="39"/>
      <c r="U135" s="188" t="s">
        <v>49</v>
      </c>
      <c r="V135" s="189"/>
      <c r="W135" s="189"/>
      <c r="X135" s="189"/>
      <c r="Y135" s="189"/>
      <c r="Z135" s="189"/>
      <c r="AA135" s="189"/>
      <c r="AB135" s="189"/>
      <c r="AC135" s="188" t="s">
        <v>50</v>
      </c>
      <c r="AD135" s="189"/>
      <c r="AE135" s="189"/>
      <c r="AF135" s="189"/>
      <c r="AG135" s="189"/>
      <c r="AH135" s="189"/>
      <c r="AI135" s="189"/>
      <c r="AJ135" s="198"/>
      <c r="AK135" s="50"/>
      <c r="AL135" s="50"/>
      <c r="AM135" s="151" t="str">
        <f>IF([4]回答表!F17="下水道事業",IF([4]回答表!X43="○",[4]回答表!B154,IF([4]回答表!AA43="○",[4]回答表!B201,"")),"")</f>
        <v>10地区について公共接続・処理場廃止とし、流域処理場への流入処理を予定・検討している。うち真中地区の統合事業が実施予定で、公共接続により、農業集落排水事業で行う場合に比べて年間3,465千円の管理費減少が見込まれる。他９地区は計画段階。</v>
      </c>
      <c r="AN135" s="152"/>
      <c r="AO135" s="152"/>
      <c r="AP135" s="152"/>
      <c r="AQ135" s="152"/>
      <c r="AR135" s="152"/>
      <c r="AS135" s="152"/>
      <c r="AT135" s="152"/>
      <c r="AU135" s="152"/>
      <c r="AV135" s="152"/>
      <c r="AW135" s="152"/>
      <c r="AX135" s="152"/>
      <c r="AY135" s="152"/>
      <c r="AZ135" s="152"/>
      <c r="BA135" s="152"/>
      <c r="BB135" s="153"/>
      <c r="BC135" s="40"/>
      <c r="BD135" s="35"/>
      <c r="BE135" s="115" t="str">
        <f>IF([4]回答表!F17="下水道事業",IF([4]回答表!X43="○",[4]回答表!B190,IF([4]回答表!AA43="○",[4]回答表!B238,"")),"")</f>
        <v>令和</v>
      </c>
      <c r="BF135" s="116"/>
      <c r="BG135" s="116"/>
      <c r="BH135" s="116"/>
      <c r="BI135" s="115"/>
      <c r="BJ135" s="116"/>
      <c r="BK135" s="116"/>
      <c r="BL135" s="116"/>
      <c r="BM135" s="115"/>
      <c r="BN135" s="116"/>
      <c r="BO135" s="116"/>
      <c r="BP135" s="117"/>
      <c r="BQ135" s="38"/>
    </row>
    <row r="136" spans="3:69" ht="19.350000000000001" customHeight="1" x14ac:dyDescent="0.4">
      <c r="C136" s="33"/>
      <c r="D136" s="181"/>
      <c r="E136" s="181"/>
      <c r="F136" s="181"/>
      <c r="G136" s="181"/>
      <c r="H136" s="181"/>
      <c r="I136" s="181"/>
      <c r="J136" s="181"/>
      <c r="K136" s="181"/>
      <c r="L136" s="181"/>
      <c r="M136" s="181"/>
      <c r="N136" s="100"/>
      <c r="O136" s="101"/>
      <c r="P136" s="101"/>
      <c r="Q136" s="102"/>
      <c r="R136" s="39"/>
      <c r="S136" s="39"/>
      <c r="T136" s="39"/>
      <c r="U136" s="190"/>
      <c r="V136" s="191"/>
      <c r="W136" s="191"/>
      <c r="X136" s="191"/>
      <c r="Y136" s="191"/>
      <c r="Z136" s="191"/>
      <c r="AA136" s="191"/>
      <c r="AB136" s="191"/>
      <c r="AC136" s="190"/>
      <c r="AD136" s="191"/>
      <c r="AE136" s="191"/>
      <c r="AF136" s="191"/>
      <c r="AG136" s="191"/>
      <c r="AH136" s="191"/>
      <c r="AI136" s="191"/>
      <c r="AJ136" s="199"/>
      <c r="AK136" s="50"/>
      <c r="AL136" s="50"/>
      <c r="AM136" s="154"/>
      <c r="AN136" s="155"/>
      <c r="AO136" s="155"/>
      <c r="AP136" s="155"/>
      <c r="AQ136" s="155"/>
      <c r="AR136" s="155"/>
      <c r="AS136" s="155"/>
      <c r="AT136" s="155"/>
      <c r="AU136" s="155"/>
      <c r="AV136" s="155"/>
      <c r="AW136" s="155"/>
      <c r="AX136" s="155"/>
      <c r="AY136" s="155"/>
      <c r="AZ136" s="155"/>
      <c r="BA136" s="155"/>
      <c r="BB136" s="156"/>
      <c r="BC136" s="40"/>
      <c r="BD136" s="35"/>
      <c r="BE136" s="82"/>
      <c r="BF136" s="83"/>
      <c r="BG136" s="83"/>
      <c r="BH136" s="83"/>
      <c r="BI136" s="82"/>
      <c r="BJ136" s="83"/>
      <c r="BK136" s="83"/>
      <c r="BL136" s="83"/>
      <c r="BM136" s="82"/>
      <c r="BN136" s="83"/>
      <c r="BO136" s="83"/>
      <c r="BP136" s="86"/>
      <c r="BQ136" s="38"/>
    </row>
    <row r="137" spans="3:69" ht="15.6" customHeight="1" x14ac:dyDescent="0.4">
      <c r="C137" s="33"/>
      <c r="D137" s="181"/>
      <c r="E137" s="181"/>
      <c r="F137" s="181"/>
      <c r="G137" s="181"/>
      <c r="H137" s="181"/>
      <c r="I137" s="181"/>
      <c r="J137" s="181"/>
      <c r="K137" s="181"/>
      <c r="L137" s="181"/>
      <c r="M137" s="181"/>
      <c r="N137" s="100"/>
      <c r="O137" s="101"/>
      <c r="P137" s="101"/>
      <c r="Q137" s="102"/>
      <c r="R137" s="39"/>
      <c r="S137" s="39"/>
      <c r="T137" s="39"/>
      <c r="U137" s="118" t="str">
        <f>IF([4]回答表!F17="下水道事業",IF([4]回答表!X43="○",[4]回答表!Y184,IF([4]回答表!AA43="○",[4]回答表!Y232,"")),"")</f>
        <v>○</v>
      </c>
      <c r="V137" s="119"/>
      <c r="W137" s="119"/>
      <c r="X137" s="119"/>
      <c r="Y137" s="119"/>
      <c r="Z137" s="119"/>
      <c r="AA137" s="119"/>
      <c r="AB137" s="120"/>
      <c r="AC137" s="118">
        <f>IF([4]回答表!F17="下水道事業",IF([4]回答表!X43="○",[4]回答表!Y185,IF([4]回答表!AA43="○",[4]回答表!Y233,"")),"")</f>
        <v>0</v>
      </c>
      <c r="AD137" s="119"/>
      <c r="AE137" s="119"/>
      <c r="AF137" s="119"/>
      <c r="AG137" s="119"/>
      <c r="AH137" s="119"/>
      <c r="AI137" s="119"/>
      <c r="AJ137" s="120"/>
      <c r="AK137" s="50"/>
      <c r="AL137" s="50"/>
      <c r="AM137" s="154"/>
      <c r="AN137" s="155"/>
      <c r="AO137" s="155"/>
      <c r="AP137" s="155"/>
      <c r="AQ137" s="155"/>
      <c r="AR137" s="155"/>
      <c r="AS137" s="155"/>
      <c r="AT137" s="155"/>
      <c r="AU137" s="155"/>
      <c r="AV137" s="155"/>
      <c r="AW137" s="155"/>
      <c r="AX137" s="155"/>
      <c r="AY137" s="155"/>
      <c r="AZ137" s="155"/>
      <c r="BA137" s="155"/>
      <c r="BB137" s="156"/>
      <c r="BC137" s="40"/>
      <c r="BD137" s="35"/>
      <c r="BE137" s="82"/>
      <c r="BF137" s="83"/>
      <c r="BG137" s="83"/>
      <c r="BH137" s="83"/>
      <c r="BI137" s="82"/>
      <c r="BJ137" s="83"/>
      <c r="BK137" s="83"/>
      <c r="BL137" s="83"/>
      <c r="BM137" s="82"/>
      <c r="BN137" s="83"/>
      <c r="BO137" s="83"/>
      <c r="BP137" s="86"/>
      <c r="BQ137" s="38"/>
    </row>
    <row r="138" spans="3:69" ht="15.6" customHeight="1" x14ac:dyDescent="0.4">
      <c r="C138" s="33"/>
      <c r="D138" s="181"/>
      <c r="E138" s="181"/>
      <c r="F138" s="181"/>
      <c r="G138" s="181"/>
      <c r="H138" s="181"/>
      <c r="I138" s="181"/>
      <c r="J138" s="181"/>
      <c r="K138" s="181"/>
      <c r="L138" s="181"/>
      <c r="M138" s="181"/>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154"/>
      <c r="AN138" s="155"/>
      <c r="AO138" s="155"/>
      <c r="AP138" s="155"/>
      <c r="AQ138" s="155"/>
      <c r="AR138" s="155"/>
      <c r="AS138" s="155"/>
      <c r="AT138" s="155"/>
      <c r="AU138" s="155"/>
      <c r="AV138" s="155"/>
      <c r="AW138" s="155"/>
      <c r="AX138" s="155"/>
      <c r="AY138" s="155"/>
      <c r="AZ138" s="155"/>
      <c r="BA138" s="155"/>
      <c r="BB138" s="156"/>
      <c r="BC138" s="40"/>
      <c r="BD138" s="35"/>
      <c r="BE138" s="82">
        <f>IF([4]回答表!F17="下水道事業",IF([4]回答表!X43="○",[4]回答表!E190,IF([4]回答表!AA43="○",[4]回答表!E238,"")),"")</f>
        <v>5</v>
      </c>
      <c r="BF138" s="83"/>
      <c r="BG138" s="83"/>
      <c r="BH138" s="83"/>
      <c r="BI138" s="82">
        <f>IF([4]回答表!F17="下水道事業",IF([4]回答表!X43="○",[4]回答表!E191,IF([4]回答表!AA43="○",[4]回答表!E239,"")),"")</f>
        <v>4</v>
      </c>
      <c r="BJ138" s="83"/>
      <c r="BK138" s="83"/>
      <c r="BL138" s="83"/>
      <c r="BM138" s="82">
        <f>IF([4]回答表!F17="下水道事業",IF([4]回答表!X43="○",[4]回答表!E192,IF([4]回答表!AA43="○",[4]回答表!E240,"")),"")</f>
        <v>1</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154"/>
      <c r="AN139" s="155"/>
      <c r="AO139" s="155"/>
      <c r="AP139" s="155"/>
      <c r="AQ139" s="155"/>
      <c r="AR139" s="155"/>
      <c r="AS139" s="155"/>
      <c r="AT139" s="155"/>
      <c r="AU139" s="155"/>
      <c r="AV139" s="155"/>
      <c r="AW139" s="155"/>
      <c r="AX139" s="155"/>
      <c r="AY139" s="155"/>
      <c r="AZ139" s="155"/>
      <c r="BA139" s="155"/>
      <c r="BB139" s="156"/>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88" t="s">
        <v>51</v>
      </c>
      <c r="V140" s="189"/>
      <c r="W140" s="189"/>
      <c r="X140" s="189"/>
      <c r="Y140" s="189"/>
      <c r="Z140" s="189"/>
      <c r="AA140" s="189"/>
      <c r="AB140" s="189"/>
      <c r="AC140" s="192" t="s">
        <v>52</v>
      </c>
      <c r="AD140" s="193"/>
      <c r="AE140" s="193"/>
      <c r="AF140" s="193"/>
      <c r="AG140" s="193"/>
      <c r="AH140" s="193"/>
      <c r="AI140" s="193"/>
      <c r="AJ140" s="194"/>
      <c r="AK140" s="50"/>
      <c r="AL140" s="50"/>
      <c r="AM140" s="154"/>
      <c r="AN140" s="155"/>
      <c r="AO140" s="155"/>
      <c r="AP140" s="155"/>
      <c r="AQ140" s="155"/>
      <c r="AR140" s="155"/>
      <c r="AS140" s="155"/>
      <c r="AT140" s="155"/>
      <c r="AU140" s="155"/>
      <c r="AV140" s="155"/>
      <c r="AW140" s="155"/>
      <c r="AX140" s="155"/>
      <c r="AY140" s="155"/>
      <c r="AZ140" s="155"/>
      <c r="BA140" s="155"/>
      <c r="BB140" s="156"/>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86" t="s">
        <v>26</v>
      </c>
      <c r="E141" s="181"/>
      <c r="F141" s="181"/>
      <c r="G141" s="181"/>
      <c r="H141" s="181"/>
      <c r="I141" s="181"/>
      <c r="J141" s="181"/>
      <c r="K141" s="181"/>
      <c r="L141" s="181"/>
      <c r="M141" s="182"/>
      <c r="N141" s="97" t="str">
        <f>IF([4]回答表!F17="下水道事業",IF([4]回答表!AA43="○","○",""),"")</f>
        <v>○</v>
      </c>
      <c r="O141" s="98"/>
      <c r="P141" s="98"/>
      <c r="Q141" s="99"/>
      <c r="R141" s="39"/>
      <c r="S141" s="39"/>
      <c r="T141" s="39"/>
      <c r="U141" s="190"/>
      <c r="V141" s="191"/>
      <c r="W141" s="191"/>
      <c r="X141" s="191"/>
      <c r="Y141" s="191"/>
      <c r="Z141" s="191"/>
      <c r="AA141" s="191"/>
      <c r="AB141" s="191"/>
      <c r="AC141" s="195"/>
      <c r="AD141" s="196"/>
      <c r="AE141" s="196"/>
      <c r="AF141" s="196"/>
      <c r="AG141" s="196"/>
      <c r="AH141" s="196"/>
      <c r="AI141" s="196"/>
      <c r="AJ141" s="197"/>
      <c r="AK141" s="50"/>
      <c r="AL141" s="50"/>
      <c r="AM141" s="154"/>
      <c r="AN141" s="155"/>
      <c r="AO141" s="155"/>
      <c r="AP141" s="155"/>
      <c r="AQ141" s="155"/>
      <c r="AR141" s="155"/>
      <c r="AS141" s="155"/>
      <c r="AT141" s="155"/>
      <c r="AU141" s="155"/>
      <c r="AV141" s="155"/>
      <c r="AW141" s="155"/>
      <c r="AX141" s="155"/>
      <c r="AY141" s="155"/>
      <c r="AZ141" s="155"/>
      <c r="BA141" s="155"/>
      <c r="BB141" s="156"/>
      <c r="BC141" s="40"/>
      <c r="BD141" s="54"/>
      <c r="BE141" s="82"/>
      <c r="BF141" s="83"/>
      <c r="BG141" s="83"/>
      <c r="BH141" s="83"/>
      <c r="BI141" s="82"/>
      <c r="BJ141" s="83"/>
      <c r="BK141" s="83"/>
      <c r="BL141" s="83"/>
      <c r="BM141" s="82"/>
      <c r="BN141" s="83"/>
      <c r="BO141" s="83"/>
      <c r="BP141" s="86"/>
      <c r="BQ141" s="38"/>
    </row>
    <row r="142" spans="3:69" ht="15.6" customHeight="1" x14ac:dyDescent="0.4">
      <c r="C142" s="33"/>
      <c r="D142" s="181"/>
      <c r="E142" s="181"/>
      <c r="F142" s="181"/>
      <c r="G142" s="181"/>
      <c r="H142" s="181"/>
      <c r="I142" s="181"/>
      <c r="J142" s="181"/>
      <c r="K142" s="181"/>
      <c r="L142" s="181"/>
      <c r="M142" s="182"/>
      <c r="N142" s="100"/>
      <c r="O142" s="101"/>
      <c r="P142" s="101"/>
      <c r="Q142" s="102"/>
      <c r="R142" s="39"/>
      <c r="S142" s="39"/>
      <c r="T142" s="39"/>
      <c r="U142" s="118">
        <f>IF([4]回答表!F17="下水道事業",IF([4]回答表!X43="○",[4]回答表!Y186,IF([4]回答表!AA43="○",[4]回答表!Y234,"")),"")</f>
        <v>0</v>
      </c>
      <c r="V142" s="119"/>
      <c r="W142" s="119"/>
      <c r="X142" s="119"/>
      <c r="Y142" s="119"/>
      <c r="Z142" s="119"/>
      <c r="AA142" s="119"/>
      <c r="AB142" s="120"/>
      <c r="AC142" s="118" t="str">
        <f>IF([4]回答表!F17="下水道事業",IF([4]回答表!X43="○",[4]回答表!Y187,IF([4]回答表!AA43="○",[4]回答表!Y235,"")),"")</f>
        <v>○</v>
      </c>
      <c r="AD142" s="119"/>
      <c r="AE142" s="119"/>
      <c r="AF142" s="119"/>
      <c r="AG142" s="119"/>
      <c r="AH142" s="119"/>
      <c r="AI142" s="119"/>
      <c r="AJ142" s="120"/>
      <c r="AK142" s="50"/>
      <c r="AL142" s="50"/>
      <c r="AM142" s="154"/>
      <c r="AN142" s="155"/>
      <c r="AO142" s="155"/>
      <c r="AP142" s="155"/>
      <c r="AQ142" s="155"/>
      <c r="AR142" s="155"/>
      <c r="AS142" s="155"/>
      <c r="AT142" s="155"/>
      <c r="AU142" s="155"/>
      <c r="AV142" s="155"/>
      <c r="AW142" s="155"/>
      <c r="AX142" s="155"/>
      <c r="AY142" s="155"/>
      <c r="AZ142" s="155"/>
      <c r="BA142" s="155"/>
      <c r="BB142" s="156"/>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81"/>
      <c r="E143" s="181"/>
      <c r="F143" s="181"/>
      <c r="G143" s="181"/>
      <c r="H143" s="181"/>
      <c r="I143" s="181"/>
      <c r="J143" s="181"/>
      <c r="K143" s="181"/>
      <c r="L143" s="181"/>
      <c r="M143" s="182"/>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154"/>
      <c r="AN143" s="155"/>
      <c r="AO143" s="155"/>
      <c r="AP143" s="155"/>
      <c r="AQ143" s="155"/>
      <c r="AR143" s="155"/>
      <c r="AS143" s="155"/>
      <c r="AT143" s="155"/>
      <c r="AU143" s="155"/>
      <c r="AV143" s="155"/>
      <c r="AW143" s="155"/>
      <c r="AX143" s="155"/>
      <c r="AY143" s="155"/>
      <c r="AZ143" s="155"/>
      <c r="BA143" s="155"/>
      <c r="BB143" s="156"/>
      <c r="BC143" s="40"/>
      <c r="BD143" s="54"/>
      <c r="BE143" s="82"/>
      <c r="BF143" s="83"/>
      <c r="BG143" s="83"/>
      <c r="BH143" s="83"/>
      <c r="BI143" s="82"/>
      <c r="BJ143" s="83"/>
      <c r="BK143" s="83"/>
      <c r="BL143" s="83"/>
      <c r="BM143" s="82"/>
      <c r="BN143" s="83"/>
      <c r="BO143" s="83"/>
      <c r="BP143" s="86"/>
      <c r="BQ143" s="38"/>
    </row>
    <row r="144" spans="3:69" ht="15.6" customHeight="1" x14ac:dyDescent="0.4">
      <c r="C144" s="33"/>
      <c r="D144" s="181"/>
      <c r="E144" s="181"/>
      <c r="F144" s="181"/>
      <c r="G144" s="181"/>
      <c r="H144" s="181"/>
      <c r="I144" s="181"/>
      <c r="J144" s="181"/>
      <c r="K144" s="181"/>
      <c r="L144" s="181"/>
      <c r="M144" s="182"/>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157"/>
      <c r="AN144" s="158"/>
      <c r="AO144" s="158"/>
      <c r="AP144" s="158"/>
      <c r="AQ144" s="158"/>
      <c r="AR144" s="158"/>
      <c r="AS144" s="158"/>
      <c r="AT144" s="158"/>
      <c r="AU144" s="158"/>
      <c r="AV144" s="158"/>
      <c r="AW144" s="158"/>
      <c r="AX144" s="158"/>
      <c r="AY144" s="158"/>
      <c r="AZ144" s="158"/>
      <c r="BA144" s="158"/>
      <c r="BB144" s="159"/>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81" t="s">
        <v>34</v>
      </c>
      <c r="E147" s="181"/>
      <c r="F147" s="181"/>
      <c r="G147" s="181"/>
      <c r="H147" s="181"/>
      <c r="I147" s="181"/>
      <c r="J147" s="181"/>
      <c r="K147" s="181"/>
      <c r="L147" s="181"/>
      <c r="M147" s="182"/>
      <c r="N147" s="97" t="str">
        <f>IF([4]回答表!F17="下水道事業",IF([4]回答表!AD43="○","○",""),"")</f>
        <v/>
      </c>
      <c r="O147" s="98"/>
      <c r="P147" s="98"/>
      <c r="Q147" s="99"/>
      <c r="R147" s="39"/>
      <c r="S147" s="39"/>
      <c r="T147" s="39"/>
      <c r="U147" s="106" t="str">
        <f>IF([4]回答表!F17="下水道事業",IF([4]回答表!AD43="○",[4]回答表!B249,""),"")</f>
        <v/>
      </c>
      <c r="V147" s="107"/>
      <c r="W147" s="107"/>
      <c r="X147" s="107"/>
      <c r="Y147" s="107"/>
      <c r="Z147" s="107"/>
      <c r="AA147" s="107"/>
      <c r="AB147" s="107"/>
      <c r="AC147" s="107"/>
      <c r="AD147" s="107"/>
      <c r="AE147" s="107"/>
      <c r="AF147" s="107"/>
      <c r="AG147" s="107"/>
      <c r="AH147" s="107"/>
      <c r="AI147" s="107"/>
      <c r="AJ147" s="108"/>
      <c r="AK147" s="56"/>
      <c r="AL147" s="56"/>
      <c r="AM147" s="106" t="str">
        <f>IF([4]回答表!F17="下水道事業",IF([4]回答表!AD43="○",[4]回答表!B255,""),"")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81"/>
      <c r="E148" s="181"/>
      <c r="F148" s="181"/>
      <c r="G148" s="181"/>
      <c r="H148" s="181"/>
      <c r="I148" s="181"/>
      <c r="J148" s="181"/>
      <c r="K148" s="181"/>
      <c r="L148" s="181"/>
      <c r="M148" s="182"/>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81"/>
      <c r="E149" s="181"/>
      <c r="F149" s="181"/>
      <c r="G149" s="181"/>
      <c r="H149" s="181"/>
      <c r="I149" s="181"/>
      <c r="J149" s="181"/>
      <c r="K149" s="181"/>
      <c r="L149" s="181"/>
      <c r="M149" s="182"/>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81"/>
      <c r="E150" s="181"/>
      <c r="F150" s="181"/>
      <c r="G150" s="181"/>
      <c r="H150" s="181"/>
      <c r="I150" s="181"/>
      <c r="J150" s="181"/>
      <c r="K150" s="181"/>
      <c r="L150" s="181"/>
      <c r="M150" s="182"/>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62"/>
      <c r="AS153" s="162"/>
      <c r="AT153" s="162"/>
      <c r="AU153" s="162"/>
      <c r="AV153" s="162"/>
      <c r="AW153" s="162"/>
      <c r="AX153" s="162"/>
      <c r="AY153" s="162"/>
      <c r="AZ153" s="162"/>
      <c r="BA153" s="162"/>
      <c r="BB153" s="162"/>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87"/>
      <c r="AS154" s="187"/>
      <c r="AT154" s="187"/>
      <c r="AU154" s="187"/>
      <c r="AV154" s="187"/>
      <c r="AW154" s="187"/>
      <c r="AX154" s="187"/>
      <c r="AY154" s="187"/>
      <c r="AZ154" s="187"/>
      <c r="BA154" s="187"/>
      <c r="BB154" s="187"/>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81" t="s">
        <v>18</v>
      </c>
      <c r="E159" s="181"/>
      <c r="F159" s="181"/>
      <c r="G159" s="181"/>
      <c r="H159" s="181"/>
      <c r="I159" s="181"/>
      <c r="J159" s="181"/>
      <c r="K159" s="181"/>
      <c r="L159" s="181"/>
      <c r="M159" s="181"/>
      <c r="N159" s="97" t="str">
        <f>IF([4]回答表!BD17="○",IF([4]回答表!X43="○","○",""),"")</f>
        <v/>
      </c>
      <c r="O159" s="98"/>
      <c r="P159" s="98"/>
      <c r="Q159" s="99"/>
      <c r="R159" s="39"/>
      <c r="S159" s="39"/>
      <c r="T159" s="39"/>
      <c r="U159" s="106" t="str">
        <f>IF([4]回答表!BD17="○",IF([4]回答表!X43="○",[4]回答表!B154,IF([4]回答表!AA43="○",[4]回答表!B201,"")),"")</f>
        <v/>
      </c>
      <c r="V159" s="107"/>
      <c r="W159" s="107"/>
      <c r="X159" s="107"/>
      <c r="Y159" s="107"/>
      <c r="Z159" s="107"/>
      <c r="AA159" s="107"/>
      <c r="AB159" s="107"/>
      <c r="AC159" s="107"/>
      <c r="AD159" s="107"/>
      <c r="AE159" s="107"/>
      <c r="AF159" s="107"/>
      <c r="AG159" s="107"/>
      <c r="AH159" s="107"/>
      <c r="AI159" s="107"/>
      <c r="AJ159" s="108"/>
      <c r="AK159" s="50"/>
      <c r="AL159" s="50"/>
      <c r="AM159" s="115" t="str">
        <f>IF([4]回答表!BD17="○",IF([4]回答表!X43="○",[4]回答表!B190,IF([4]回答表!AA43="○",[4]回答表!B238,"")),"")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81"/>
      <c r="E160" s="181"/>
      <c r="F160" s="181"/>
      <c r="G160" s="181"/>
      <c r="H160" s="181"/>
      <c r="I160" s="181"/>
      <c r="J160" s="181"/>
      <c r="K160" s="181"/>
      <c r="L160" s="181"/>
      <c r="M160" s="181"/>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81"/>
      <c r="E161" s="181"/>
      <c r="F161" s="181"/>
      <c r="G161" s="181"/>
      <c r="H161" s="181"/>
      <c r="I161" s="181"/>
      <c r="J161" s="181"/>
      <c r="K161" s="181"/>
      <c r="L161" s="181"/>
      <c r="M161" s="181"/>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81"/>
      <c r="E162" s="181"/>
      <c r="F162" s="181"/>
      <c r="G162" s="181"/>
      <c r="H162" s="181"/>
      <c r="I162" s="181"/>
      <c r="J162" s="181"/>
      <c r="K162" s="181"/>
      <c r="L162" s="181"/>
      <c r="M162" s="181"/>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IF([4]回答表!BD17="○",IF([4]回答表!X43="○",[4]回答表!E190,IF([4]回答表!AA43="○",[4]回答表!E238,"")),"")</f>
        <v/>
      </c>
      <c r="AN162" s="83"/>
      <c r="AO162" s="83"/>
      <c r="AP162" s="83"/>
      <c r="AQ162" s="82" t="str">
        <f>IF([4]回答表!BD17="○",IF([4]回答表!X43="○",[4]回答表!E191,IF([4]回答表!AA43="○",[4]回答表!E239,"")),"")</f>
        <v/>
      </c>
      <c r="AR162" s="83"/>
      <c r="AS162" s="83"/>
      <c r="AT162" s="83"/>
      <c r="AU162" s="82" t="str">
        <f>IF([4]回答表!BD17="○",IF([4]回答表!X43="○",[4]回答表!E192,IF([4]回答表!AA43="○",[4]回答表!E240,"")),"")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86" t="s">
        <v>26</v>
      </c>
      <c r="E165" s="181"/>
      <c r="F165" s="181"/>
      <c r="G165" s="181"/>
      <c r="H165" s="181"/>
      <c r="I165" s="181"/>
      <c r="J165" s="181"/>
      <c r="K165" s="181"/>
      <c r="L165" s="181"/>
      <c r="M165" s="182"/>
      <c r="N165" s="97" t="str">
        <f>IF([4]回答表!BD17="○",IF([4]回答表!AA43="○","○",""),"")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81"/>
      <c r="E166" s="181"/>
      <c r="F166" s="181"/>
      <c r="G166" s="181"/>
      <c r="H166" s="181"/>
      <c r="I166" s="181"/>
      <c r="J166" s="181"/>
      <c r="K166" s="181"/>
      <c r="L166" s="181"/>
      <c r="M166" s="182"/>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81"/>
      <c r="E167" s="181"/>
      <c r="F167" s="181"/>
      <c r="G167" s="181"/>
      <c r="H167" s="181"/>
      <c r="I167" s="181"/>
      <c r="J167" s="181"/>
      <c r="K167" s="181"/>
      <c r="L167" s="181"/>
      <c r="M167" s="182"/>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81"/>
      <c r="E168" s="181"/>
      <c r="F168" s="181"/>
      <c r="G168" s="181"/>
      <c r="H168" s="181"/>
      <c r="I168" s="181"/>
      <c r="J168" s="181"/>
      <c r="K168" s="181"/>
      <c r="L168" s="181"/>
      <c r="M168" s="182"/>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81" t="s">
        <v>34</v>
      </c>
      <c r="E171" s="181"/>
      <c r="F171" s="181"/>
      <c r="G171" s="181"/>
      <c r="H171" s="181"/>
      <c r="I171" s="181"/>
      <c r="J171" s="181"/>
      <c r="K171" s="181"/>
      <c r="L171" s="181"/>
      <c r="M171" s="182"/>
      <c r="N171" s="97" t="str">
        <f>IF([4]回答表!BD17="○",IF([4]回答表!AD43="○","○",""),"")</f>
        <v/>
      </c>
      <c r="O171" s="98"/>
      <c r="P171" s="98"/>
      <c r="Q171" s="99"/>
      <c r="R171" s="39"/>
      <c r="S171" s="39"/>
      <c r="T171" s="39"/>
      <c r="U171" s="106" t="str">
        <f>IF([4]回答表!BD17="○",IF([4]回答表!AD43="○",[4]回答表!B249,""),"")</f>
        <v/>
      </c>
      <c r="V171" s="107"/>
      <c r="W171" s="107"/>
      <c r="X171" s="107"/>
      <c r="Y171" s="107"/>
      <c r="Z171" s="107"/>
      <c r="AA171" s="107"/>
      <c r="AB171" s="107"/>
      <c r="AC171" s="107"/>
      <c r="AD171" s="107"/>
      <c r="AE171" s="107"/>
      <c r="AF171" s="107"/>
      <c r="AG171" s="107"/>
      <c r="AH171" s="107"/>
      <c r="AI171" s="107"/>
      <c r="AJ171" s="108"/>
      <c r="AK171" s="56"/>
      <c r="AL171" s="56"/>
      <c r="AM171" s="106" t="str">
        <f>IF([4]回答表!BD17="○",IF([4]回答表!AD43="○",[4]回答表!B255,""),"")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81"/>
      <c r="E172" s="181"/>
      <c r="F172" s="181"/>
      <c r="G172" s="181"/>
      <c r="H172" s="181"/>
      <c r="I172" s="181"/>
      <c r="J172" s="181"/>
      <c r="K172" s="181"/>
      <c r="L172" s="181"/>
      <c r="M172" s="182"/>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81"/>
      <c r="E173" s="181"/>
      <c r="F173" s="181"/>
      <c r="G173" s="181"/>
      <c r="H173" s="181"/>
      <c r="I173" s="181"/>
      <c r="J173" s="181"/>
      <c r="K173" s="181"/>
      <c r="L173" s="181"/>
      <c r="M173" s="182"/>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81"/>
      <c r="E174" s="181"/>
      <c r="F174" s="181"/>
      <c r="G174" s="181"/>
      <c r="H174" s="181"/>
      <c r="I174" s="181"/>
      <c r="J174" s="181"/>
      <c r="K174" s="181"/>
      <c r="L174" s="181"/>
      <c r="M174" s="182"/>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62"/>
      <c r="AS177" s="162"/>
      <c r="AT177" s="162"/>
      <c r="AU177" s="162"/>
      <c r="AV177" s="162"/>
      <c r="AW177" s="162"/>
      <c r="AX177" s="162"/>
      <c r="AY177" s="162"/>
      <c r="AZ177" s="162"/>
      <c r="BA177" s="162"/>
      <c r="BB177" s="162"/>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87"/>
      <c r="AS178" s="187"/>
      <c r="AT178" s="187"/>
      <c r="AU178" s="187"/>
      <c r="AV178" s="187"/>
      <c r="AW178" s="187"/>
      <c r="AX178" s="187"/>
      <c r="AY178" s="187"/>
      <c r="AZ178" s="187"/>
      <c r="BA178" s="187"/>
      <c r="BB178" s="187"/>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81" t="s">
        <v>18</v>
      </c>
      <c r="E183" s="181"/>
      <c r="F183" s="181"/>
      <c r="G183" s="181"/>
      <c r="H183" s="181"/>
      <c r="I183" s="181"/>
      <c r="J183" s="181"/>
      <c r="K183" s="181"/>
      <c r="L183" s="181"/>
      <c r="M183" s="181"/>
      <c r="N183" s="97" t="str">
        <f>IF([4]回答表!X44="○","○","")</f>
        <v/>
      </c>
      <c r="O183" s="98"/>
      <c r="P183" s="98"/>
      <c r="Q183" s="99"/>
      <c r="R183" s="39"/>
      <c r="S183" s="39"/>
      <c r="T183" s="39"/>
      <c r="U183" s="106" t="str">
        <f>IF([4]回答表!X44="○",[4]回答表!B266,IF([4]回答表!AA44="○",[4]回答表!B283,""))</f>
        <v/>
      </c>
      <c r="V183" s="107"/>
      <c r="W183" s="107"/>
      <c r="X183" s="107"/>
      <c r="Y183" s="107"/>
      <c r="Z183" s="107"/>
      <c r="AA183" s="107"/>
      <c r="AB183" s="107"/>
      <c r="AC183" s="107"/>
      <c r="AD183" s="107"/>
      <c r="AE183" s="107"/>
      <c r="AF183" s="107"/>
      <c r="AG183" s="107"/>
      <c r="AH183" s="107"/>
      <c r="AI183" s="107"/>
      <c r="AJ183" s="108"/>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IF([4]回答表!X44="○",[4]回答表!U272,IF([4]回答表!AA44="○",[4]回答表!U289,""))</f>
        <v/>
      </c>
      <c r="BF183" s="116"/>
      <c r="BG183" s="116"/>
      <c r="BH183" s="116"/>
      <c r="BI183" s="115"/>
      <c r="BJ183" s="116"/>
      <c r="BK183" s="116"/>
      <c r="BL183" s="116"/>
      <c r="BM183" s="115"/>
      <c r="BN183" s="116"/>
      <c r="BO183" s="116"/>
      <c r="BP183" s="117"/>
      <c r="BQ183" s="38"/>
      <c r="BR183" s="25"/>
    </row>
    <row r="184" spans="3:70" ht="15.6" customHeight="1" x14ac:dyDescent="0.4">
      <c r="C184" s="33"/>
      <c r="D184" s="181"/>
      <c r="E184" s="181"/>
      <c r="F184" s="181"/>
      <c r="G184" s="181"/>
      <c r="H184" s="181"/>
      <c r="I184" s="181"/>
      <c r="J184" s="181"/>
      <c r="K184" s="181"/>
      <c r="L184" s="181"/>
      <c r="M184" s="181"/>
      <c r="N184" s="100"/>
      <c r="O184" s="101"/>
      <c r="P184" s="101"/>
      <c r="Q184" s="102"/>
      <c r="R184" s="39"/>
      <c r="S184" s="39"/>
      <c r="T184" s="39"/>
      <c r="U184" s="109"/>
      <c r="V184" s="110"/>
      <c r="W184" s="110"/>
      <c r="X184" s="110"/>
      <c r="Y184" s="110"/>
      <c r="Z184" s="110"/>
      <c r="AA184" s="110"/>
      <c r="AB184" s="110"/>
      <c r="AC184" s="110"/>
      <c r="AD184" s="110"/>
      <c r="AE184" s="110"/>
      <c r="AF184" s="110"/>
      <c r="AG184" s="110"/>
      <c r="AH184" s="110"/>
      <c r="AI184" s="110"/>
      <c r="AJ184" s="111"/>
      <c r="AK184" s="50"/>
      <c r="AL184" s="50"/>
      <c r="AM184" s="183"/>
      <c r="AN184" s="184"/>
      <c r="AO184" s="184"/>
      <c r="AP184" s="184"/>
      <c r="AQ184" s="184"/>
      <c r="AR184" s="184"/>
      <c r="AS184" s="184"/>
      <c r="AT184" s="185"/>
      <c r="AU184" s="183"/>
      <c r="AV184" s="184"/>
      <c r="AW184" s="184"/>
      <c r="AX184" s="184"/>
      <c r="AY184" s="184"/>
      <c r="AZ184" s="184"/>
      <c r="BA184" s="184"/>
      <c r="BB184" s="185"/>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81"/>
      <c r="E185" s="181"/>
      <c r="F185" s="181"/>
      <c r="G185" s="181"/>
      <c r="H185" s="181"/>
      <c r="I185" s="181"/>
      <c r="J185" s="181"/>
      <c r="K185" s="181"/>
      <c r="L185" s="181"/>
      <c r="M185" s="181"/>
      <c r="N185" s="100"/>
      <c r="O185" s="101"/>
      <c r="P185" s="101"/>
      <c r="Q185" s="102"/>
      <c r="R185" s="39"/>
      <c r="S185" s="39"/>
      <c r="T185" s="39"/>
      <c r="U185" s="109"/>
      <c r="V185" s="110"/>
      <c r="W185" s="110"/>
      <c r="X185" s="110"/>
      <c r="Y185" s="110"/>
      <c r="Z185" s="110"/>
      <c r="AA185" s="110"/>
      <c r="AB185" s="110"/>
      <c r="AC185" s="110"/>
      <c r="AD185" s="110"/>
      <c r="AE185" s="110"/>
      <c r="AF185" s="110"/>
      <c r="AG185" s="110"/>
      <c r="AH185" s="110"/>
      <c r="AI185" s="110"/>
      <c r="AJ185" s="111"/>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81"/>
      <c r="E186" s="181"/>
      <c r="F186" s="181"/>
      <c r="G186" s="181"/>
      <c r="H186" s="181"/>
      <c r="I186" s="181"/>
      <c r="J186" s="181"/>
      <c r="K186" s="181"/>
      <c r="L186" s="181"/>
      <c r="M186" s="181"/>
      <c r="N186" s="103"/>
      <c r="O186" s="104"/>
      <c r="P186" s="104"/>
      <c r="Q186" s="105"/>
      <c r="R186" s="39"/>
      <c r="S186" s="39"/>
      <c r="T186" s="39"/>
      <c r="U186" s="109"/>
      <c r="V186" s="110"/>
      <c r="W186" s="110"/>
      <c r="X186" s="110"/>
      <c r="Y186" s="110"/>
      <c r="Z186" s="110"/>
      <c r="AA186" s="110"/>
      <c r="AB186" s="110"/>
      <c r="AC186" s="110"/>
      <c r="AD186" s="110"/>
      <c r="AE186" s="110"/>
      <c r="AF186" s="110"/>
      <c r="AG186" s="110"/>
      <c r="AH186" s="110"/>
      <c r="AI186" s="110"/>
      <c r="AJ186" s="111"/>
      <c r="AK186" s="50"/>
      <c r="AL186" s="50"/>
      <c r="AM186" s="118" t="str">
        <f>IF([4]回答表!X44="○",[4]回答表!G272,IF([4]回答表!AA44="○",[4]回答表!G289,""))</f>
        <v/>
      </c>
      <c r="AN186" s="119"/>
      <c r="AO186" s="119"/>
      <c r="AP186" s="119"/>
      <c r="AQ186" s="119"/>
      <c r="AR186" s="119"/>
      <c r="AS186" s="119"/>
      <c r="AT186" s="120"/>
      <c r="AU186" s="118" t="str">
        <f>IF([4]回答表!X44="○",[4]回答表!G273,IF([4]回答表!AA44="○",[4]回答表!G290,""))</f>
        <v/>
      </c>
      <c r="AV186" s="119"/>
      <c r="AW186" s="119"/>
      <c r="AX186" s="119"/>
      <c r="AY186" s="119"/>
      <c r="AZ186" s="119"/>
      <c r="BA186" s="119"/>
      <c r="BB186" s="120"/>
      <c r="BC186" s="40"/>
      <c r="BD186" s="35"/>
      <c r="BE186" s="82" t="str">
        <f>IF([4]回答表!X44="○",[4]回答表!X272,IF([4]回答表!AA44="○",[4]回答表!X289,""))</f>
        <v/>
      </c>
      <c r="BF186" s="83"/>
      <c r="BG186" s="83"/>
      <c r="BH186" s="83"/>
      <c r="BI186" s="82" t="str">
        <f>IF([4]回答表!X44="○",[4]回答表!X273,IF([4]回答表!AA44="○",[4]回答表!X290,""))</f>
        <v/>
      </c>
      <c r="BJ186" s="83"/>
      <c r="BK186" s="83"/>
      <c r="BL186" s="86"/>
      <c r="BM186" s="82" t="str">
        <f>IF([4]回答表!X44="○",[4]回答表!X274,IF([4]回答表!AA44="○",[4]回答表!X291,""))</f>
        <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09"/>
      <c r="V187" s="110"/>
      <c r="W187" s="110"/>
      <c r="X187" s="110"/>
      <c r="Y187" s="110"/>
      <c r="Z187" s="110"/>
      <c r="AA187" s="110"/>
      <c r="AB187" s="110"/>
      <c r="AC187" s="110"/>
      <c r="AD187" s="110"/>
      <c r="AE187" s="110"/>
      <c r="AF187" s="110"/>
      <c r="AG187" s="110"/>
      <c r="AH187" s="110"/>
      <c r="AI187" s="110"/>
      <c r="AJ187" s="111"/>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09"/>
      <c r="V188" s="110"/>
      <c r="W188" s="110"/>
      <c r="X188" s="110"/>
      <c r="Y188" s="110"/>
      <c r="Z188" s="110"/>
      <c r="AA188" s="110"/>
      <c r="AB188" s="110"/>
      <c r="AC188" s="110"/>
      <c r="AD188" s="110"/>
      <c r="AE188" s="110"/>
      <c r="AF188" s="110"/>
      <c r="AG188" s="110"/>
      <c r="AH188" s="110"/>
      <c r="AI188" s="110"/>
      <c r="AJ188" s="111"/>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86" t="s">
        <v>26</v>
      </c>
      <c r="E189" s="181"/>
      <c r="F189" s="181"/>
      <c r="G189" s="181"/>
      <c r="H189" s="181"/>
      <c r="I189" s="181"/>
      <c r="J189" s="181"/>
      <c r="K189" s="181"/>
      <c r="L189" s="181"/>
      <c r="M189" s="182"/>
      <c r="N189" s="97" t="str">
        <f>IF([4]回答表!AA44="○","○","")</f>
        <v/>
      </c>
      <c r="O189" s="98"/>
      <c r="P189" s="98"/>
      <c r="Q189" s="99"/>
      <c r="R189" s="39"/>
      <c r="S189" s="39"/>
      <c r="T189" s="39"/>
      <c r="U189" s="109"/>
      <c r="V189" s="110"/>
      <c r="W189" s="110"/>
      <c r="X189" s="110"/>
      <c r="Y189" s="110"/>
      <c r="Z189" s="110"/>
      <c r="AA189" s="110"/>
      <c r="AB189" s="110"/>
      <c r="AC189" s="110"/>
      <c r="AD189" s="110"/>
      <c r="AE189" s="110"/>
      <c r="AF189" s="110"/>
      <c r="AG189" s="110"/>
      <c r="AH189" s="110"/>
      <c r="AI189" s="110"/>
      <c r="AJ189" s="111"/>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81"/>
      <c r="E190" s="181"/>
      <c r="F190" s="181"/>
      <c r="G190" s="181"/>
      <c r="H190" s="181"/>
      <c r="I190" s="181"/>
      <c r="J190" s="181"/>
      <c r="K190" s="181"/>
      <c r="L190" s="181"/>
      <c r="M190" s="182"/>
      <c r="N190" s="100"/>
      <c r="O190" s="101"/>
      <c r="P190" s="101"/>
      <c r="Q190" s="102"/>
      <c r="R190" s="39"/>
      <c r="S190" s="39"/>
      <c r="T190" s="39"/>
      <c r="U190" s="109"/>
      <c r="V190" s="110"/>
      <c r="W190" s="110"/>
      <c r="X190" s="110"/>
      <c r="Y190" s="110"/>
      <c r="Z190" s="110"/>
      <c r="AA190" s="110"/>
      <c r="AB190" s="110"/>
      <c r="AC190" s="110"/>
      <c r="AD190" s="110"/>
      <c r="AE190" s="110"/>
      <c r="AF190" s="110"/>
      <c r="AG190" s="110"/>
      <c r="AH190" s="110"/>
      <c r="AI190" s="110"/>
      <c r="AJ190" s="111"/>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81"/>
      <c r="E191" s="181"/>
      <c r="F191" s="181"/>
      <c r="G191" s="181"/>
      <c r="H191" s="181"/>
      <c r="I191" s="181"/>
      <c r="J191" s="181"/>
      <c r="K191" s="181"/>
      <c r="L191" s="181"/>
      <c r="M191" s="182"/>
      <c r="N191" s="100"/>
      <c r="O191" s="101"/>
      <c r="P191" s="101"/>
      <c r="Q191" s="102"/>
      <c r="R191" s="39"/>
      <c r="S191" s="39"/>
      <c r="T191" s="39"/>
      <c r="U191" s="109"/>
      <c r="V191" s="110"/>
      <c r="W191" s="110"/>
      <c r="X191" s="110"/>
      <c r="Y191" s="110"/>
      <c r="Z191" s="110"/>
      <c r="AA191" s="110"/>
      <c r="AB191" s="110"/>
      <c r="AC191" s="110"/>
      <c r="AD191" s="110"/>
      <c r="AE191" s="110"/>
      <c r="AF191" s="110"/>
      <c r="AG191" s="110"/>
      <c r="AH191" s="110"/>
      <c r="AI191" s="110"/>
      <c r="AJ191" s="111"/>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81"/>
      <c r="E192" s="181"/>
      <c r="F192" s="181"/>
      <c r="G192" s="181"/>
      <c r="H192" s="181"/>
      <c r="I192" s="181"/>
      <c r="J192" s="181"/>
      <c r="K192" s="181"/>
      <c r="L192" s="181"/>
      <c r="M192" s="182"/>
      <c r="N192" s="103"/>
      <c r="O192" s="104"/>
      <c r="P192" s="104"/>
      <c r="Q192" s="105"/>
      <c r="R192" s="39"/>
      <c r="S192" s="39"/>
      <c r="T192" s="39"/>
      <c r="U192" s="112"/>
      <c r="V192" s="113"/>
      <c r="W192" s="113"/>
      <c r="X192" s="113"/>
      <c r="Y192" s="113"/>
      <c r="Z192" s="113"/>
      <c r="AA192" s="113"/>
      <c r="AB192" s="113"/>
      <c r="AC192" s="113"/>
      <c r="AD192" s="113"/>
      <c r="AE192" s="113"/>
      <c r="AF192" s="113"/>
      <c r="AG192" s="113"/>
      <c r="AH192" s="113"/>
      <c r="AI192" s="113"/>
      <c r="AJ192" s="114"/>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81" t="s">
        <v>34</v>
      </c>
      <c r="E195" s="181"/>
      <c r="F195" s="181"/>
      <c r="G195" s="181"/>
      <c r="H195" s="181"/>
      <c r="I195" s="181"/>
      <c r="J195" s="181"/>
      <c r="K195" s="181"/>
      <c r="L195" s="181"/>
      <c r="M195" s="182"/>
      <c r="N195" s="97" t="str">
        <f>IF([4]回答表!AD44="○","○","")</f>
        <v/>
      </c>
      <c r="O195" s="98"/>
      <c r="P195" s="98"/>
      <c r="Q195" s="99"/>
      <c r="R195" s="39"/>
      <c r="S195" s="39"/>
      <c r="T195" s="39"/>
      <c r="U195" s="106" t="str">
        <f>IF([4]回答表!AD44="○",[4]回答表!B296,"")</f>
        <v/>
      </c>
      <c r="V195" s="107"/>
      <c r="W195" s="107"/>
      <c r="X195" s="107"/>
      <c r="Y195" s="107"/>
      <c r="Z195" s="107"/>
      <c r="AA195" s="107"/>
      <c r="AB195" s="107"/>
      <c r="AC195" s="107"/>
      <c r="AD195" s="107"/>
      <c r="AE195" s="107"/>
      <c r="AF195" s="107"/>
      <c r="AG195" s="107"/>
      <c r="AH195" s="107"/>
      <c r="AI195" s="107"/>
      <c r="AJ195" s="108"/>
      <c r="AK195" s="61"/>
      <c r="AL195" s="61"/>
      <c r="AM195" s="106" t="str">
        <f>IF([4]回答表!AD44="○",[4]回答表!B302,"")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81"/>
      <c r="E196" s="181"/>
      <c r="F196" s="181"/>
      <c r="G196" s="181"/>
      <c r="H196" s="181"/>
      <c r="I196" s="181"/>
      <c r="J196" s="181"/>
      <c r="K196" s="181"/>
      <c r="L196" s="181"/>
      <c r="M196" s="182"/>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81"/>
      <c r="E197" s="181"/>
      <c r="F197" s="181"/>
      <c r="G197" s="181"/>
      <c r="H197" s="181"/>
      <c r="I197" s="181"/>
      <c r="J197" s="181"/>
      <c r="K197" s="181"/>
      <c r="L197" s="181"/>
      <c r="M197" s="182"/>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81"/>
      <c r="E198" s="181"/>
      <c r="F198" s="181"/>
      <c r="G198" s="181"/>
      <c r="H198" s="181"/>
      <c r="I198" s="181"/>
      <c r="J198" s="181"/>
      <c r="K198" s="181"/>
      <c r="L198" s="181"/>
      <c r="M198" s="182"/>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62"/>
      <c r="AS201" s="162"/>
      <c r="AT201" s="162"/>
      <c r="AU201" s="162"/>
      <c r="AV201" s="162"/>
      <c r="AW201" s="162"/>
      <c r="AX201" s="162"/>
      <c r="AY201" s="162"/>
      <c r="AZ201" s="162"/>
      <c r="BA201" s="162"/>
      <c r="BB201" s="162"/>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63"/>
      <c r="AS202" s="163"/>
      <c r="AT202" s="163"/>
      <c r="AU202" s="163"/>
      <c r="AV202" s="163"/>
      <c r="AW202" s="163"/>
      <c r="AX202" s="163"/>
      <c r="AY202" s="163"/>
      <c r="AZ202" s="163"/>
      <c r="BA202" s="163"/>
      <c r="BB202" s="163"/>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IF([4]回答表!X45="○","○","")</f>
        <v/>
      </c>
      <c r="O207" s="98"/>
      <c r="P207" s="98"/>
      <c r="Q207" s="99"/>
      <c r="R207" s="39"/>
      <c r="S207" s="39"/>
      <c r="T207" s="39"/>
      <c r="U207" s="106" t="str">
        <f>IF([4]回答表!X45="○",[4]回答表!B314,IF([4]回答表!AA45="○",[4]回答表!B337,""))</f>
        <v/>
      </c>
      <c r="V207" s="107"/>
      <c r="W207" s="107"/>
      <c r="X207" s="107"/>
      <c r="Y207" s="107"/>
      <c r="Z207" s="107"/>
      <c r="AA207" s="107"/>
      <c r="AB207" s="107"/>
      <c r="AC207" s="107"/>
      <c r="AD207" s="107"/>
      <c r="AE207" s="107"/>
      <c r="AF207" s="107"/>
      <c r="AG207" s="107"/>
      <c r="AH207" s="107"/>
      <c r="AI207" s="107"/>
      <c r="AJ207" s="108"/>
      <c r="AK207" s="50"/>
      <c r="AL207" s="50"/>
      <c r="AM207" s="50"/>
      <c r="AN207" s="106" t="str">
        <f>IF([4]回答表!X45="○",[4]回答表!B320,"")</f>
        <v/>
      </c>
      <c r="AO207" s="173"/>
      <c r="AP207" s="173"/>
      <c r="AQ207" s="173"/>
      <c r="AR207" s="173"/>
      <c r="AS207" s="173"/>
      <c r="AT207" s="173"/>
      <c r="AU207" s="173"/>
      <c r="AV207" s="173"/>
      <c r="AW207" s="173"/>
      <c r="AX207" s="173"/>
      <c r="AY207" s="173"/>
      <c r="AZ207" s="173"/>
      <c r="BA207" s="173"/>
      <c r="BB207" s="174"/>
      <c r="BC207" s="40"/>
      <c r="BD207" s="35"/>
      <c r="BE207" s="115" t="str">
        <f>IF([4]回答表!X45="○",[4]回答表!B326,IF([4]回答表!AA45="○",[4]回答表!B343,""))</f>
        <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75"/>
      <c r="AO208" s="176"/>
      <c r="AP208" s="176"/>
      <c r="AQ208" s="176"/>
      <c r="AR208" s="176"/>
      <c r="AS208" s="176"/>
      <c r="AT208" s="176"/>
      <c r="AU208" s="176"/>
      <c r="AV208" s="176"/>
      <c r="AW208" s="176"/>
      <c r="AX208" s="176"/>
      <c r="AY208" s="176"/>
      <c r="AZ208" s="176"/>
      <c r="BA208" s="176"/>
      <c r="BB208" s="177"/>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75"/>
      <c r="AO209" s="176"/>
      <c r="AP209" s="176"/>
      <c r="AQ209" s="176"/>
      <c r="AR209" s="176"/>
      <c r="AS209" s="176"/>
      <c r="AT209" s="176"/>
      <c r="AU209" s="176"/>
      <c r="AV209" s="176"/>
      <c r="AW209" s="176"/>
      <c r="AX209" s="176"/>
      <c r="AY209" s="176"/>
      <c r="AZ209" s="176"/>
      <c r="BA209" s="176"/>
      <c r="BB209" s="177"/>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75"/>
      <c r="AO210" s="176"/>
      <c r="AP210" s="176"/>
      <c r="AQ210" s="176"/>
      <c r="AR210" s="176"/>
      <c r="AS210" s="176"/>
      <c r="AT210" s="176"/>
      <c r="AU210" s="176"/>
      <c r="AV210" s="176"/>
      <c r="AW210" s="176"/>
      <c r="AX210" s="176"/>
      <c r="AY210" s="176"/>
      <c r="AZ210" s="176"/>
      <c r="BA210" s="176"/>
      <c r="BB210" s="177"/>
      <c r="BC210" s="40"/>
      <c r="BD210" s="35"/>
      <c r="BE210" s="82" t="str">
        <f>IF([4]回答表!X45="○",[4]回答表!E326,IF([4]回答表!AA45="○",[4]回答表!E343,""))</f>
        <v/>
      </c>
      <c r="BF210" s="83"/>
      <c r="BG210" s="83"/>
      <c r="BH210" s="83"/>
      <c r="BI210" s="82" t="str">
        <f>IF([4]回答表!X45="○",[4]回答表!E327,IF([4]回答表!AA45="○",[4]回答表!E344,""))</f>
        <v/>
      </c>
      <c r="BJ210" s="83"/>
      <c r="BK210" s="83"/>
      <c r="BL210" s="86"/>
      <c r="BM210" s="82" t="str">
        <f>IF([4]回答表!X45="○",[4]回答表!E328,IF([4]回答表!AA45="○",[4]回答表!E345,""))</f>
        <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75"/>
      <c r="AO211" s="176"/>
      <c r="AP211" s="176"/>
      <c r="AQ211" s="176"/>
      <c r="AR211" s="176"/>
      <c r="AS211" s="176"/>
      <c r="AT211" s="176"/>
      <c r="AU211" s="176"/>
      <c r="AV211" s="176"/>
      <c r="AW211" s="176"/>
      <c r="AX211" s="176"/>
      <c r="AY211" s="176"/>
      <c r="AZ211" s="176"/>
      <c r="BA211" s="176"/>
      <c r="BB211" s="177"/>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75"/>
      <c r="AO212" s="176"/>
      <c r="AP212" s="176"/>
      <c r="AQ212" s="176"/>
      <c r="AR212" s="176"/>
      <c r="AS212" s="176"/>
      <c r="AT212" s="176"/>
      <c r="AU212" s="176"/>
      <c r="AV212" s="176"/>
      <c r="AW212" s="176"/>
      <c r="AX212" s="176"/>
      <c r="AY212" s="176"/>
      <c r="AZ212" s="176"/>
      <c r="BA212" s="176"/>
      <c r="BB212" s="177"/>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IF([4]回答表!AA45="○","○","")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75"/>
      <c r="AO213" s="176"/>
      <c r="AP213" s="176"/>
      <c r="AQ213" s="176"/>
      <c r="AR213" s="176"/>
      <c r="AS213" s="176"/>
      <c r="AT213" s="176"/>
      <c r="AU213" s="176"/>
      <c r="AV213" s="176"/>
      <c r="AW213" s="176"/>
      <c r="AX213" s="176"/>
      <c r="AY213" s="176"/>
      <c r="AZ213" s="176"/>
      <c r="BA213" s="176"/>
      <c r="BB213" s="177"/>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75"/>
      <c r="AO214" s="176"/>
      <c r="AP214" s="176"/>
      <c r="AQ214" s="176"/>
      <c r="AR214" s="176"/>
      <c r="AS214" s="176"/>
      <c r="AT214" s="176"/>
      <c r="AU214" s="176"/>
      <c r="AV214" s="176"/>
      <c r="AW214" s="176"/>
      <c r="AX214" s="176"/>
      <c r="AY214" s="176"/>
      <c r="AZ214" s="176"/>
      <c r="BA214" s="176"/>
      <c r="BB214" s="177"/>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75"/>
      <c r="AO215" s="176"/>
      <c r="AP215" s="176"/>
      <c r="AQ215" s="176"/>
      <c r="AR215" s="176"/>
      <c r="AS215" s="176"/>
      <c r="AT215" s="176"/>
      <c r="AU215" s="176"/>
      <c r="AV215" s="176"/>
      <c r="AW215" s="176"/>
      <c r="AX215" s="176"/>
      <c r="AY215" s="176"/>
      <c r="AZ215" s="176"/>
      <c r="BA215" s="176"/>
      <c r="BB215" s="177"/>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78"/>
      <c r="AO216" s="179"/>
      <c r="AP216" s="179"/>
      <c r="AQ216" s="179"/>
      <c r="AR216" s="179"/>
      <c r="AS216" s="179"/>
      <c r="AT216" s="179"/>
      <c r="AU216" s="179"/>
      <c r="AV216" s="179"/>
      <c r="AW216" s="179"/>
      <c r="AX216" s="179"/>
      <c r="AY216" s="179"/>
      <c r="AZ216" s="179"/>
      <c r="BA216" s="179"/>
      <c r="BB216" s="180"/>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IF([4]回答表!AD45="○","○","")</f>
        <v/>
      </c>
      <c r="O219" s="98"/>
      <c r="P219" s="98"/>
      <c r="Q219" s="99"/>
      <c r="R219" s="39"/>
      <c r="S219" s="39"/>
      <c r="T219" s="39"/>
      <c r="U219" s="106" t="str">
        <f>IF([4]回答表!AD45="○",[4]回答表!B350,"")</f>
        <v/>
      </c>
      <c r="V219" s="107"/>
      <c r="W219" s="107"/>
      <c r="X219" s="107"/>
      <c r="Y219" s="107"/>
      <c r="Z219" s="107"/>
      <c r="AA219" s="107"/>
      <c r="AB219" s="107"/>
      <c r="AC219" s="107"/>
      <c r="AD219" s="107"/>
      <c r="AE219" s="107"/>
      <c r="AF219" s="107"/>
      <c r="AG219" s="107"/>
      <c r="AH219" s="107"/>
      <c r="AI219" s="107"/>
      <c r="AJ219" s="108"/>
      <c r="AK219" s="61"/>
      <c r="AL219" s="61"/>
      <c r="AM219" s="106" t="str">
        <f>IF([4]回答表!AD45="○",[4]回答表!B356,"")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62"/>
      <c r="AS225" s="162"/>
      <c r="AT225" s="162"/>
      <c r="AU225" s="162"/>
      <c r="AV225" s="162"/>
      <c r="AW225" s="162"/>
      <c r="AX225" s="162"/>
      <c r="AY225" s="162"/>
      <c r="AZ225" s="162"/>
      <c r="BA225" s="162"/>
      <c r="BB225" s="162"/>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63"/>
      <c r="AS226" s="163"/>
      <c r="AT226" s="163"/>
      <c r="AU226" s="163"/>
      <c r="AV226" s="163"/>
      <c r="AW226" s="163"/>
      <c r="AX226" s="163"/>
      <c r="AY226" s="163"/>
      <c r="AZ226" s="163"/>
      <c r="BA226" s="163"/>
      <c r="BB226" s="163"/>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IF([4]回答表!X46="○","○","")</f>
        <v/>
      </c>
      <c r="O231" s="98"/>
      <c r="P231" s="98"/>
      <c r="Q231" s="99"/>
      <c r="R231" s="39"/>
      <c r="S231" s="39"/>
      <c r="T231" s="39"/>
      <c r="U231" s="106" t="str">
        <f>IF([4]回答表!X46="○",[4]回答表!B368,IF([4]回答表!AA46="○",[4]回答表!B382,""))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IF([4]回答表!X46="○",[4]回答表!BC375,IF([4]回答表!AA46="○",[4]回答表!BC389,""))</f>
        <v/>
      </c>
      <c r="AR231" s="150"/>
      <c r="AS231" s="150"/>
      <c r="AT231" s="150"/>
      <c r="AU231" s="164" t="s">
        <v>63</v>
      </c>
      <c r="AV231" s="165"/>
      <c r="AW231" s="165"/>
      <c r="AX231" s="166"/>
      <c r="AY231" s="150" t="str">
        <f>IF([4]回答表!X46="○",[4]回答表!BC380,IF([4]回答表!AA46="○",[4]回答表!BC394,""))</f>
        <v/>
      </c>
      <c r="AZ231" s="150"/>
      <c r="BA231" s="150"/>
      <c r="BB231" s="150"/>
      <c r="BC231" s="40"/>
      <c r="BD231" s="35"/>
      <c r="BE231" s="115" t="str">
        <f>IF([4]回答表!X46="○",[4]回答表!S374,IF([4]回答表!AA46="○",[4]回答表!S388,""))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67"/>
      <c r="AV232" s="168"/>
      <c r="AW232" s="168"/>
      <c r="AX232" s="169"/>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IF([4]回答表!X46="○",[4]回答表!BC376,IF([4]回答表!AA46="○",[4]回答表!BC390,""))</f>
        <v/>
      </c>
      <c r="AR233" s="150"/>
      <c r="AS233" s="150"/>
      <c r="AT233" s="150"/>
      <c r="AU233" s="167"/>
      <c r="AV233" s="168"/>
      <c r="AW233" s="168"/>
      <c r="AX233" s="169"/>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67"/>
      <c r="AV234" s="168"/>
      <c r="AW234" s="168"/>
      <c r="AX234" s="169"/>
      <c r="AY234" s="150"/>
      <c r="AZ234" s="150"/>
      <c r="BA234" s="150"/>
      <c r="BB234" s="150"/>
      <c r="BC234" s="40"/>
      <c r="BD234" s="35"/>
      <c r="BE234" s="82" t="str">
        <f>IF([4]回答表!X46="○",[4]回答表!V374,IF([4]回答表!AA46="○",[4]回答表!V388,""))</f>
        <v/>
      </c>
      <c r="BF234" s="83"/>
      <c r="BG234" s="83"/>
      <c r="BH234" s="83"/>
      <c r="BI234" s="82" t="str">
        <f>IF([4]回答表!X46="○",[4]回答表!V375,IF([4]回答表!AA46="○",[4]回答表!V389,""))</f>
        <v/>
      </c>
      <c r="BJ234" s="83"/>
      <c r="BK234" s="83"/>
      <c r="BL234" s="86"/>
      <c r="BM234" s="82" t="str">
        <f>IF([4]回答表!X46="○",[4]回答表!V376,IF([4]回答表!AA46="○",[4]回答表!V390,""))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IF([4]回答表!X46="○",[4]回答表!BC377,IF([4]回答表!AA46="○",[4]回答表!BC391,""))</f>
        <v/>
      </c>
      <c r="AR235" s="150"/>
      <c r="AS235" s="150"/>
      <c r="AT235" s="150"/>
      <c r="AU235" s="170"/>
      <c r="AV235" s="171"/>
      <c r="AW235" s="171"/>
      <c r="AX235" s="172"/>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60" t="str">
        <f>IF([4]回答表!X46="○",[4]回答表!BC381,IF([4]回答表!AA46="○",[4]回答表!BC395,""))</f>
        <v/>
      </c>
      <c r="AZ236" s="160"/>
      <c r="BA236" s="160"/>
      <c r="BB236" s="160"/>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IF([4]回答表!AA46="○","○","")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61" t="str">
        <f>IF([4]回答表!X46="○",[4]回答表!BC378,IF([4]回答表!AA46="○",[4]回答表!BC392,""))</f>
        <v/>
      </c>
      <c r="AR237" s="150"/>
      <c r="AS237" s="150"/>
      <c r="AT237" s="150"/>
      <c r="AU237" s="149"/>
      <c r="AV237" s="149"/>
      <c r="AW237" s="149"/>
      <c r="AX237" s="149"/>
      <c r="AY237" s="160"/>
      <c r="AZ237" s="160"/>
      <c r="BA237" s="160"/>
      <c r="BB237" s="160"/>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60"/>
      <c r="AZ238" s="160"/>
      <c r="BA238" s="160"/>
      <c r="BB238" s="160"/>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IF([4]回答表!X46="○",[4]回答表!BC379,IF([4]回答表!AA46="○",[4]回答表!BC393,""))</f>
        <v/>
      </c>
      <c r="AR239" s="150"/>
      <c r="AS239" s="150"/>
      <c r="AT239" s="150"/>
      <c r="AU239" s="149"/>
      <c r="AV239" s="149"/>
      <c r="AW239" s="149"/>
      <c r="AX239" s="149"/>
      <c r="AY239" s="160"/>
      <c r="AZ239" s="160"/>
      <c r="BA239" s="160"/>
      <c r="BB239" s="160"/>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60"/>
      <c r="AZ240" s="160"/>
      <c r="BA240" s="160"/>
      <c r="BB240" s="160"/>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IF([4]回答表!AD46="○","○","")</f>
        <v/>
      </c>
      <c r="O243" s="98"/>
      <c r="P243" s="98"/>
      <c r="Q243" s="99"/>
      <c r="R243" s="39"/>
      <c r="S243" s="39"/>
      <c r="T243" s="39"/>
      <c r="U243" s="106" t="str">
        <f>IF([4]回答表!AD46="○",[4]回答表!B396,"")</f>
        <v/>
      </c>
      <c r="V243" s="107"/>
      <c r="W243" s="107"/>
      <c r="X243" s="107"/>
      <c r="Y243" s="107"/>
      <c r="Z243" s="107"/>
      <c r="AA243" s="107"/>
      <c r="AB243" s="107"/>
      <c r="AC243" s="107"/>
      <c r="AD243" s="107"/>
      <c r="AE243" s="107"/>
      <c r="AF243" s="107"/>
      <c r="AG243" s="107"/>
      <c r="AH243" s="107"/>
      <c r="AI243" s="107"/>
      <c r="AJ243" s="108"/>
      <c r="AK243" s="56"/>
      <c r="AL243" s="56"/>
      <c r="AM243" s="106" t="str">
        <f>IF([4]回答表!AD46="○",[4]回答表!B402,"")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IF([4]回答表!X47="○","○","")</f>
        <v/>
      </c>
      <c r="O254" s="98"/>
      <c r="P254" s="98"/>
      <c r="Q254" s="99"/>
      <c r="R254" s="39"/>
      <c r="S254" s="39"/>
      <c r="T254" s="39"/>
      <c r="U254" s="106" t="str">
        <f>IF([4]回答表!X47="○",[4]回答表!B414,IF([4]回答表!AA47="○",[4]回答表!B431,""))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IF([4]回答表!X47="○",[4]回答表!B424,IF([4]回答表!AA47="○",[4]回答表!B441,""))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IF([4]回答表!X47="○",[4]回答表!G420,IF([4]回答表!AA47="○",[4]回答表!G437,""))</f>
        <v/>
      </c>
      <c r="AN256" s="119"/>
      <c r="AO256" s="119"/>
      <c r="AP256" s="119"/>
      <c r="AQ256" s="119"/>
      <c r="AR256" s="119"/>
      <c r="AS256" s="119"/>
      <c r="AT256" s="120"/>
      <c r="AU256" s="118" t="str">
        <f>IF([4]回答表!X47="○",[4]回答表!G421,IF([4]回答表!AA47="○",[4]回答表!G438,""))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IF([4]回答表!X47="○",[4]回答表!E424,IF([4]回答表!AA47="○",[4]回答表!E441,""))</f>
        <v/>
      </c>
      <c r="BF257" s="83"/>
      <c r="BG257" s="83"/>
      <c r="BH257" s="83"/>
      <c r="BI257" s="82" t="str">
        <f>IF([4]回答表!X47="○",[4]回答表!E425,IF([4]回答表!AA47="○",[4]回答表!E442,""))</f>
        <v/>
      </c>
      <c r="BJ257" s="83"/>
      <c r="BK257" s="83"/>
      <c r="BL257" s="86"/>
      <c r="BM257" s="82" t="str">
        <f>IF([4]回答表!X47="○",[4]回答表!E426,IF([4]回答表!AA47="○",[4]回答表!E443,""))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IF([4]回答表!AA47="○","○","")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IF([4]回答表!AD47="○","○","")</f>
        <v/>
      </c>
      <c r="O266" s="98"/>
      <c r="P266" s="98"/>
      <c r="Q266" s="99"/>
      <c r="R266" s="39"/>
      <c r="S266" s="39"/>
      <c r="T266" s="39"/>
      <c r="U266" s="106" t="str">
        <f>IF([4]回答表!AD47="○",[4]回答表!B448,"")</f>
        <v/>
      </c>
      <c r="V266" s="107"/>
      <c r="W266" s="107"/>
      <c r="X266" s="107"/>
      <c r="Y266" s="107"/>
      <c r="Z266" s="107"/>
      <c r="AA266" s="107"/>
      <c r="AB266" s="107"/>
      <c r="AC266" s="107"/>
      <c r="AD266" s="107"/>
      <c r="AE266" s="107"/>
      <c r="AF266" s="107"/>
      <c r="AG266" s="107"/>
      <c r="AH266" s="107"/>
      <c r="AI266" s="107"/>
      <c r="AJ266" s="108"/>
      <c r="AK266" s="50"/>
      <c r="AL266" s="50"/>
      <c r="AM266" s="106" t="str">
        <f>IF([4]回答表!AD47="○",[4]回答表!B454,"")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IF([4]回答表!R48="○",[4]回答表!B467,"")</f>
        <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2"/>
  <conditionalFormatting sqref="A29:XFD30 A28:BI28 BR28:XFD28">
    <cfRule type="expression" dxfId="7"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55762-F7AA-454F-B16C-4796DCC3BF43}">
  <sheetPr>
    <pageSetUpPr fitToPage="1"/>
  </sheetPr>
  <dimension ref="A1:CE298"/>
  <sheetViews>
    <sheetView showZeros="0" zoomScale="55" zoomScaleNormal="55" workbookViewId="0">
      <selection activeCell="AU63" sqref="AU63:BB65"/>
    </sheetView>
  </sheetViews>
  <sheetFormatPr defaultColWidth="2.875" defaultRowHeight="12.6" customHeight="1" x14ac:dyDescent="0.4"/>
  <cols>
    <col min="1" max="70" width="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63" t="s">
        <v>0</v>
      </c>
      <c r="D8" s="264"/>
      <c r="E8" s="264"/>
      <c r="F8" s="264"/>
      <c r="G8" s="264"/>
      <c r="H8" s="264"/>
      <c r="I8" s="264"/>
      <c r="J8" s="264"/>
      <c r="K8" s="264"/>
      <c r="L8" s="264"/>
      <c r="M8" s="264"/>
      <c r="N8" s="264"/>
      <c r="O8" s="264"/>
      <c r="P8" s="264"/>
      <c r="Q8" s="264"/>
      <c r="R8" s="264"/>
      <c r="S8" s="264"/>
      <c r="T8" s="264"/>
      <c r="U8" s="265" t="s">
        <v>1</v>
      </c>
      <c r="V8" s="266"/>
      <c r="W8" s="266"/>
      <c r="X8" s="266"/>
      <c r="Y8" s="266"/>
      <c r="Z8" s="266"/>
      <c r="AA8" s="266"/>
      <c r="AB8" s="266"/>
      <c r="AC8" s="266"/>
      <c r="AD8" s="266"/>
      <c r="AE8" s="266"/>
      <c r="AF8" s="266"/>
      <c r="AG8" s="266"/>
      <c r="AH8" s="266"/>
      <c r="AI8" s="266"/>
      <c r="AJ8" s="266"/>
      <c r="AK8" s="266"/>
      <c r="AL8" s="266"/>
      <c r="AM8" s="266"/>
      <c r="AN8" s="267"/>
      <c r="AO8" s="268" t="s">
        <v>2</v>
      </c>
      <c r="AP8" s="266"/>
      <c r="AQ8" s="266"/>
      <c r="AR8" s="266"/>
      <c r="AS8" s="266"/>
      <c r="AT8" s="266"/>
      <c r="AU8" s="266"/>
      <c r="AV8" s="266"/>
      <c r="AW8" s="266"/>
      <c r="AX8" s="266"/>
      <c r="AY8" s="266"/>
      <c r="AZ8" s="266"/>
      <c r="BA8" s="266"/>
      <c r="BB8" s="266"/>
      <c r="BC8" s="266"/>
      <c r="BD8" s="266"/>
      <c r="BE8" s="267"/>
      <c r="BF8" s="263" t="s">
        <v>3</v>
      </c>
      <c r="BG8" s="269"/>
      <c r="BH8" s="269"/>
      <c r="BI8" s="269"/>
      <c r="BJ8" s="269"/>
      <c r="BK8" s="269"/>
      <c r="BL8" s="269"/>
      <c r="BM8" s="269"/>
      <c r="BN8" s="269"/>
      <c r="BO8" s="269"/>
      <c r="BP8" s="269"/>
      <c r="BQ8" s="8"/>
    </row>
    <row r="9" spans="3:70" ht="15.6" customHeight="1" x14ac:dyDescent="0.4">
      <c r="C9" s="264"/>
      <c r="D9" s="264"/>
      <c r="E9" s="264"/>
      <c r="F9" s="264"/>
      <c r="G9" s="264"/>
      <c r="H9" s="264"/>
      <c r="I9" s="264"/>
      <c r="J9" s="264"/>
      <c r="K9" s="264"/>
      <c r="L9" s="264"/>
      <c r="M9" s="264"/>
      <c r="N9" s="264"/>
      <c r="O9" s="264"/>
      <c r="P9" s="264"/>
      <c r="Q9" s="264"/>
      <c r="R9" s="264"/>
      <c r="S9" s="264"/>
      <c r="T9" s="264"/>
      <c r="U9" s="219"/>
      <c r="V9" s="217"/>
      <c r="W9" s="217"/>
      <c r="X9" s="217"/>
      <c r="Y9" s="217"/>
      <c r="Z9" s="217"/>
      <c r="AA9" s="217"/>
      <c r="AB9" s="217"/>
      <c r="AC9" s="217"/>
      <c r="AD9" s="217"/>
      <c r="AE9" s="217"/>
      <c r="AF9" s="217"/>
      <c r="AG9" s="217"/>
      <c r="AH9" s="217"/>
      <c r="AI9" s="217"/>
      <c r="AJ9" s="217"/>
      <c r="AK9" s="217"/>
      <c r="AL9" s="217"/>
      <c r="AM9" s="217"/>
      <c r="AN9" s="218"/>
      <c r="AO9" s="219"/>
      <c r="AP9" s="217"/>
      <c r="AQ9" s="217"/>
      <c r="AR9" s="217"/>
      <c r="AS9" s="217"/>
      <c r="AT9" s="217"/>
      <c r="AU9" s="217"/>
      <c r="AV9" s="217"/>
      <c r="AW9" s="217"/>
      <c r="AX9" s="217"/>
      <c r="AY9" s="217"/>
      <c r="AZ9" s="217"/>
      <c r="BA9" s="217"/>
      <c r="BB9" s="217"/>
      <c r="BC9" s="217"/>
      <c r="BD9" s="217"/>
      <c r="BE9" s="218"/>
      <c r="BF9" s="269"/>
      <c r="BG9" s="269"/>
      <c r="BH9" s="269"/>
      <c r="BI9" s="269"/>
      <c r="BJ9" s="269"/>
      <c r="BK9" s="269"/>
      <c r="BL9" s="269"/>
      <c r="BM9" s="269"/>
      <c r="BN9" s="269"/>
      <c r="BO9" s="269"/>
      <c r="BP9" s="269"/>
      <c r="BQ9" s="8"/>
    </row>
    <row r="10" spans="3:70" ht="15.6" customHeight="1" x14ac:dyDescent="0.4">
      <c r="C10" s="264"/>
      <c r="D10" s="264"/>
      <c r="E10" s="264"/>
      <c r="F10" s="264"/>
      <c r="G10" s="264"/>
      <c r="H10" s="264"/>
      <c r="I10" s="264"/>
      <c r="J10" s="264"/>
      <c r="K10" s="264"/>
      <c r="L10" s="264"/>
      <c r="M10" s="264"/>
      <c r="N10" s="264"/>
      <c r="O10" s="264"/>
      <c r="P10" s="264"/>
      <c r="Q10" s="264"/>
      <c r="R10" s="264"/>
      <c r="S10" s="264"/>
      <c r="T10" s="264"/>
      <c r="U10" s="220"/>
      <c r="V10" s="221"/>
      <c r="W10" s="221"/>
      <c r="X10" s="221"/>
      <c r="Y10" s="221"/>
      <c r="Z10" s="221"/>
      <c r="AA10" s="221"/>
      <c r="AB10" s="221"/>
      <c r="AC10" s="221"/>
      <c r="AD10" s="221"/>
      <c r="AE10" s="221"/>
      <c r="AF10" s="221"/>
      <c r="AG10" s="221"/>
      <c r="AH10" s="221"/>
      <c r="AI10" s="221"/>
      <c r="AJ10" s="221"/>
      <c r="AK10" s="221"/>
      <c r="AL10" s="221"/>
      <c r="AM10" s="221"/>
      <c r="AN10" s="222"/>
      <c r="AO10" s="220"/>
      <c r="AP10" s="221"/>
      <c r="AQ10" s="221"/>
      <c r="AR10" s="221"/>
      <c r="AS10" s="221"/>
      <c r="AT10" s="221"/>
      <c r="AU10" s="221"/>
      <c r="AV10" s="221"/>
      <c r="AW10" s="221"/>
      <c r="AX10" s="221"/>
      <c r="AY10" s="221"/>
      <c r="AZ10" s="221"/>
      <c r="BA10" s="221"/>
      <c r="BB10" s="221"/>
      <c r="BC10" s="221"/>
      <c r="BD10" s="221"/>
      <c r="BE10" s="222"/>
      <c r="BF10" s="269"/>
      <c r="BG10" s="269"/>
      <c r="BH10" s="269"/>
      <c r="BI10" s="269"/>
      <c r="BJ10" s="269"/>
      <c r="BK10" s="269"/>
      <c r="BL10" s="269"/>
      <c r="BM10" s="269"/>
      <c r="BN10" s="269"/>
      <c r="BO10" s="269"/>
      <c r="BP10" s="269"/>
      <c r="BQ10" s="8"/>
    </row>
    <row r="11" spans="3:70" ht="15.6" customHeight="1" x14ac:dyDescent="0.4">
      <c r="C11" s="270" t="str">
        <f>IF(COUNTIF([3]回答表!K15,"*")&gt;0,[3]回答表!K15,"")</f>
        <v>大館市</v>
      </c>
      <c r="D11" s="264"/>
      <c r="E11" s="264"/>
      <c r="F11" s="264"/>
      <c r="G11" s="264"/>
      <c r="H11" s="264"/>
      <c r="I11" s="264"/>
      <c r="J11" s="264"/>
      <c r="K11" s="264"/>
      <c r="L11" s="264"/>
      <c r="M11" s="264"/>
      <c r="N11" s="264"/>
      <c r="O11" s="264"/>
      <c r="P11" s="264"/>
      <c r="Q11" s="264"/>
      <c r="R11" s="264"/>
      <c r="S11" s="264"/>
      <c r="T11" s="264"/>
      <c r="U11" s="271" t="str">
        <f>IF(COUNTIF([3]回答表!F17,"*")&gt;0,[3]回答表!F17,"")</f>
        <v>下水道事業</v>
      </c>
      <c r="V11" s="272"/>
      <c r="W11" s="272"/>
      <c r="X11" s="272"/>
      <c r="Y11" s="272"/>
      <c r="Z11" s="272"/>
      <c r="AA11" s="272"/>
      <c r="AB11" s="272"/>
      <c r="AC11" s="272"/>
      <c r="AD11" s="272"/>
      <c r="AE11" s="272"/>
      <c r="AF11" s="266"/>
      <c r="AG11" s="266"/>
      <c r="AH11" s="266"/>
      <c r="AI11" s="266"/>
      <c r="AJ11" s="266"/>
      <c r="AK11" s="266"/>
      <c r="AL11" s="266"/>
      <c r="AM11" s="266"/>
      <c r="AN11" s="267"/>
      <c r="AO11" s="277" t="str">
        <f>IF(COUNTIF([3]回答表!W17,"*")&gt;0,[3]回答表!W17,"")</f>
        <v>特定地域排水処理施設</v>
      </c>
      <c r="AP11" s="266"/>
      <c r="AQ11" s="266"/>
      <c r="AR11" s="266"/>
      <c r="AS11" s="266"/>
      <c r="AT11" s="266"/>
      <c r="AU11" s="266"/>
      <c r="AV11" s="266"/>
      <c r="AW11" s="266"/>
      <c r="AX11" s="266"/>
      <c r="AY11" s="266"/>
      <c r="AZ11" s="266"/>
      <c r="BA11" s="266"/>
      <c r="BB11" s="266"/>
      <c r="BC11" s="266"/>
      <c r="BD11" s="266"/>
      <c r="BE11" s="267"/>
      <c r="BF11" s="270" t="str">
        <f>IF(COUNTIF([3]回答表!F19,"*")&gt;0,[3]回答表!F19,"")</f>
        <v>ー</v>
      </c>
      <c r="BG11" s="269"/>
      <c r="BH11" s="269"/>
      <c r="BI11" s="269"/>
      <c r="BJ11" s="269"/>
      <c r="BK11" s="269"/>
      <c r="BL11" s="269"/>
      <c r="BM11" s="269"/>
      <c r="BN11" s="269"/>
      <c r="BO11" s="269"/>
      <c r="BP11" s="269"/>
      <c r="BQ11" s="6"/>
    </row>
    <row r="12" spans="3:70" ht="15.6" customHeight="1" x14ac:dyDescent="0.4">
      <c r="C12" s="264"/>
      <c r="D12" s="264"/>
      <c r="E12" s="264"/>
      <c r="F12" s="264"/>
      <c r="G12" s="264"/>
      <c r="H12" s="264"/>
      <c r="I12" s="264"/>
      <c r="J12" s="264"/>
      <c r="K12" s="264"/>
      <c r="L12" s="264"/>
      <c r="M12" s="264"/>
      <c r="N12" s="264"/>
      <c r="O12" s="264"/>
      <c r="P12" s="264"/>
      <c r="Q12" s="264"/>
      <c r="R12" s="264"/>
      <c r="S12" s="264"/>
      <c r="T12" s="264"/>
      <c r="U12" s="273"/>
      <c r="V12" s="274"/>
      <c r="W12" s="274"/>
      <c r="X12" s="274"/>
      <c r="Y12" s="274"/>
      <c r="Z12" s="274"/>
      <c r="AA12" s="274"/>
      <c r="AB12" s="274"/>
      <c r="AC12" s="274"/>
      <c r="AD12" s="274"/>
      <c r="AE12" s="274"/>
      <c r="AF12" s="217"/>
      <c r="AG12" s="217"/>
      <c r="AH12" s="217"/>
      <c r="AI12" s="217"/>
      <c r="AJ12" s="217"/>
      <c r="AK12" s="217"/>
      <c r="AL12" s="217"/>
      <c r="AM12" s="217"/>
      <c r="AN12" s="218"/>
      <c r="AO12" s="219"/>
      <c r="AP12" s="217"/>
      <c r="AQ12" s="217"/>
      <c r="AR12" s="217"/>
      <c r="AS12" s="217"/>
      <c r="AT12" s="217"/>
      <c r="AU12" s="217"/>
      <c r="AV12" s="217"/>
      <c r="AW12" s="217"/>
      <c r="AX12" s="217"/>
      <c r="AY12" s="217"/>
      <c r="AZ12" s="217"/>
      <c r="BA12" s="217"/>
      <c r="BB12" s="217"/>
      <c r="BC12" s="217"/>
      <c r="BD12" s="217"/>
      <c r="BE12" s="218"/>
      <c r="BF12" s="269"/>
      <c r="BG12" s="269"/>
      <c r="BH12" s="269"/>
      <c r="BI12" s="269"/>
      <c r="BJ12" s="269"/>
      <c r="BK12" s="269"/>
      <c r="BL12" s="269"/>
      <c r="BM12" s="269"/>
      <c r="BN12" s="269"/>
      <c r="BO12" s="269"/>
      <c r="BP12" s="269"/>
      <c r="BQ12" s="6"/>
    </row>
    <row r="13" spans="3:70" ht="15.6" customHeight="1" x14ac:dyDescent="0.4">
      <c r="C13" s="264"/>
      <c r="D13" s="264"/>
      <c r="E13" s="264"/>
      <c r="F13" s="264"/>
      <c r="G13" s="264"/>
      <c r="H13" s="264"/>
      <c r="I13" s="264"/>
      <c r="J13" s="264"/>
      <c r="K13" s="264"/>
      <c r="L13" s="264"/>
      <c r="M13" s="264"/>
      <c r="N13" s="264"/>
      <c r="O13" s="264"/>
      <c r="P13" s="264"/>
      <c r="Q13" s="264"/>
      <c r="R13" s="264"/>
      <c r="S13" s="264"/>
      <c r="T13" s="264"/>
      <c r="U13" s="275"/>
      <c r="V13" s="276"/>
      <c r="W13" s="276"/>
      <c r="X13" s="276"/>
      <c r="Y13" s="276"/>
      <c r="Z13" s="276"/>
      <c r="AA13" s="276"/>
      <c r="AB13" s="276"/>
      <c r="AC13" s="276"/>
      <c r="AD13" s="276"/>
      <c r="AE13" s="276"/>
      <c r="AF13" s="221"/>
      <c r="AG13" s="221"/>
      <c r="AH13" s="221"/>
      <c r="AI13" s="221"/>
      <c r="AJ13" s="221"/>
      <c r="AK13" s="221"/>
      <c r="AL13" s="221"/>
      <c r="AM13" s="221"/>
      <c r="AN13" s="222"/>
      <c r="AO13" s="220"/>
      <c r="AP13" s="221"/>
      <c r="AQ13" s="221"/>
      <c r="AR13" s="221"/>
      <c r="AS13" s="221"/>
      <c r="AT13" s="221"/>
      <c r="AU13" s="221"/>
      <c r="AV13" s="221"/>
      <c r="AW13" s="221"/>
      <c r="AX13" s="221"/>
      <c r="AY13" s="221"/>
      <c r="AZ13" s="221"/>
      <c r="BA13" s="221"/>
      <c r="BB13" s="221"/>
      <c r="BC13" s="221"/>
      <c r="BD13" s="221"/>
      <c r="BE13" s="222"/>
      <c r="BF13" s="269"/>
      <c r="BG13" s="269"/>
      <c r="BH13" s="269"/>
      <c r="BI13" s="269"/>
      <c r="BJ13" s="269"/>
      <c r="BK13" s="269"/>
      <c r="BL13" s="269"/>
      <c r="BM13" s="269"/>
      <c r="BN13" s="269"/>
      <c r="BO13" s="269"/>
      <c r="BP13" s="269"/>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30" t="s">
        <v>4</v>
      </c>
      <c r="E18" s="231"/>
      <c r="F18" s="231"/>
      <c r="G18" s="231"/>
      <c r="H18" s="231"/>
      <c r="I18" s="231"/>
      <c r="J18" s="231"/>
      <c r="K18" s="231"/>
      <c r="L18" s="231"/>
      <c r="M18" s="231"/>
      <c r="N18" s="231"/>
      <c r="O18" s="231"/>
      <c r="P18" s="231"/>
      <c r="Q18" s="231"/>
      <c r="R18" s="231"/>
      <c r="S18" s="231"/>
      <c r="T18" s="231"/>
      <c r="U18" s="231"/>
      <c r="V18" s="231"/>
      <c r="W18" s="231"/>
      <c r="X18" s="231"/>
      <c r="Y18" s="231"/>
      <c r="Z18" s="231"/>
      <c r="AA18" s="231"/>
      <c r="AB18" s="231"/>
      <c r="AC18" s="231"/>
      <c r="AD18" s="231"/>
      <c r="AE18" s="231"/>
      <c r="AF18" s="231"/>
      <c r="AG18" s="231"/>
      <c r="AH18" s="231"/>
      <c r="AI18" s="231"/>
      <c r="AJ18" s="231"/>
      <c r="AK18" s="231"/>
      <c r="AL18" s="231"/>
      <c r="AM18" s="231"/>
      <c r="AN18" s="231"/>
      <c r="AO18" s="231"/>
      <c r="AP18" s="231"/>
      <c r="AQ18" s="231"/>
      <c r="AR18" s="231"/>
      <c r="AS18" s="231"/>
      <c r="AT18" s="231"/>
      <c r="AU18" s="231"/>
      <c r="AV18" s="231"/>
      <c r="AW18" s="231"/>
      <c r="AX18" s="231"/>
      <c r="AY18" s="231"/>
      <c r="AZ18" s="232"/>
      <c r="BA18" s="15"/>
      <c r="BB18" s="15"/>
      <c r="BC18" s="15"/>
      <c r="BD18" s="15"/>
      <c r="BE18" s="15"/>
      <c r="BF18" s="15"/>
      <c r="BG18" s="15"/>
      <c r="BH18" s="15"/>
      <c r="BI18" s="15"/>
      <c r="BJ18" s="15"/>
      <c r="BK18" s="16"/>
      <c r="BR18" s="13"/>
    </row>
    <row r="19" spans="3:83" ht="15.6" customHeight="1" x14ac:dyDescent="0.4">
      <c r="C19" s="14"/>
      <c r="D19" s="233"/>
      <c r="E19" s="234"/>
      <c r="F19" s="234"/>
      <c r="G19" s="234"/>
      <c r="H19" s="234"/>
      <c r="I19" s="234"/>
      <c r="J19" s="234"/>
      <c r="K19" s="234"/>
      <c r="L19" s="234"/>
      <c r="M19" s="234"/>
      <c r="N19" s="234"/>
      <c r="O19" s="234"/>
      <c r="P19" s="234"/>
      <c r="Q19" s="234"/>
      <c r="R19" s="234"/>
      <c r="S19" s="234"/>
      <c r="T19" s="234"/>
      <c r="U19" s="234"/>
      <c r="V19" s="234"/>
      <c r="W19" s="234"/>
      <c r="X19" s="234"/>
      <c r="Y19" s="234"/>
      <c r="Z19" s="234"/>
      <c r="AA19" s="234"/>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5"/>
      <c r="BA19" s="15"/>
      <c r="BB19" s="15"/>
      <c r="BC19" s="15"/>
      <c r="BD19" s="15"/>
      <c r="BE19" s="15"/>
      <c r="BF19" s="15"/>
      <c r="BG19" s="15"/>
      <c r="BH19" s="15"/>
      <c r="BI19" s="15"/>
      <c r="BJ19" s="15"/>
      <c r="BK19" s="16"/>
      <c r="BR19" s="13"/>
    </row>
    <row r="20" spans="3:83" ht="13.35" customHeight="1" x14ac:dyDescent="0.4">
      <c r="C20" s="14"/>
      <c r="D20" s="236" t="s">
        <v>5</v>
      </c>
      <c r="E20" s="237"/>
      <c r="F20" s="237"/>
      <c r="G20" s="237"/>
      <c r="H20" s="237"/>
      <c r="I20" s="237"/>
      <c r="J20" s="238"/>
      <c r="K20" s="236" t="s">
        <v>6</v>
      </c>
      <c r="L20" s="237"/>
      <c r="M20" s="237"/>
      <c r="N20" s="237"/>
      <c r="O20" s="237"/>
      <c r="P20" s="237"/>
      <c r="Q20" s="238"/>
      <c r="R20" s="236" t="s">
        <v>7</v>
      </c>
      <c r="S20" s="237"/>
      <c r="T20" s="237"/>
      <c r="U20" s="237"/>
      <c r="V20" s="237"/>
      <c r="W20" s="237"/>
      <c r="X20" s="238"/>
      <c r="Y20" s="245" t="s">
        <v>8</v>
      </c>
      <c r="Z20" s="246"/>
      <c r="AA20" s="246"/>
      <c r="AB20" s="246"/>
      <c r="AC20" s="246"/>
      <c r="AD20" s="246"/>
      <c r="AE20" s="246"/>
      <c r="AF20" s="246"/>
      <c r="AG20" s="246"/>
      <c r="AH20" s="246"/>
      <c r="AI20" s="246"/>
      <c r="AJ20" s="246"/>
      <c r="AK20" s="246"/>
      <c r="AL20" s="246"/>
      <c r="AM20" s="246"/>
      <c r="AN20" s="246"/>
      <c r="AO20" s="246"/>
      <c r="AP20" s="246"/>
      <c r="AQ20" s="246"/>
      <c r="AR20" s="246"/>
      <c r="AS20" s="246"/>
      <c r="AT20" s="246"/>
      <c r="AU20" s="246"/>
      <c r="AV20" s="246"/>
      <c r="AW20" s="246"/>
      <c r="AX20" s="246"/>
      <c r="AY20" s="246"/>
      <c r="AZ20" s="247"/>
      <c r="BA20" s="17"/>
      <c r="BB20" s="254" t="s">
        <v>9</v>
      </c>
      <c r="BC20" s="255"/>
      <c r="BD20" s="255"/>
      <c r="BE20" s="255"/>
      <c r="BF20" s="255"/>
      <c r="BG20" s="255"/>
      <c r="BH20" s="255"/>
      <c r="BI20" s="223"/>
      <c r="BJ20" s="224"/>
      <c r="BK20" s="16"/>
      <c r="BR20" s="18"/>
    </row>
    <row r="21" spans="3:83" ht="13.35" customHeight="1" x14ac:dyDescent="0.4">
      <c r="C21" s="14"/>
      <c r="D21" s="239"/>
      <c r="E21" s="240"/>
      <c r="F21" s="240"/>
      <c r="G21" s="240"/>
      <c r="H21" s="240"/>
      <c r="I21" s="240"/>
      <c r="J21" s="241"/>
      <c r="K21" s="239"/>
      <c r="L21" s="240"/>
      <c r="M21" s="240"/>
      <c r="N21" s="240"/>
      <c r="O21" s="240"/>
      <c r="P21" s="240"/>
      <c r="Q21" s="241"/>
      <c r="R21" s="239"/>
      <c r="S21" s="240"/>
      <c r="T21" s="240"/>
      <c r="U21" s="240"/>
      <c r="V21" s="240"/>
      <c r="W21" s="240"/>
      <c r="X21" s="241"/>
      <c r="Y21" s="248"/>
      <c r="Z21" s="249"/>
      <c r="AA21" s="249"/>
      <c r="AB21" s="249"/>
      <c r="AC21" s="249"/>
      <c r="AD21" s="249"/>
      <c r="AE21" s="249"/>
      <c r="AF21" s="249"/>
      <c r="AG21" s="249"/>
      <c r="AH21" s="249"/>
      <c r="AI21" s="249"/>
      <c r="AJ21" s="249"/>
      <c r="AK21" s="249"/>
      <c r="AL21" s="249"/>
      <c r="AM21" s="249"/>
      <c r="AN21" s="249"/>
      <c r="AO21" s="249"/>
      <c r="AP21" s="249"/>
      <c r="AQ21" s="249"/>
      <c r="AR21" s="249"/>
      <c r="AS21" s="249"/>
      <c r="AT21" s="249"/>
      <c r="AU21" s="249"/>
      <c r="AV21" s="249"/>
      <c r="AW21" s="249"/>
      <c r="AX21" s="249"/>
      <c r="AY21" s="249"/>
      <c r="AZ21" s="250"/>
      <c r="BA21" s="17"/>
      <c r="BB21" s="256"/>
      <c r="BC21" s="257"/>
      <c r="BD21" s="257"/>
      <c r="BE21" s="257"/>
      <c r="BF21" s="257"/>
      <c r="BG21" s="257"/>
      <c r="BH21" s="257"/>
      <c r="BI21" s="225"/>
      <c r="BJ21" s="226"/>
      <c r="BK21" s="16"/>
      <c r="BR21" s="18"/>
    </row>
    <row r="22" spans="3:83" ht="13.35" customHeight="1" x14ac:dyDescent="0.4">
      <c r="C22" s="14"/>
      <c r="D22" s="239"/>
      <c r="E22" s="240"/>
      <c r="F22" s="240"/>
      <c r="G22" s="240"/>
      <c r="H22" s="240"/>
      <c r="I22" s="240"/>
      <c r="J22" s="241"/>
      <c r="K22" s="239"/>
      <c r="L22" s="240"/>
      <c r="M22" s="240"/>
      <c r="N22" s="240"/>
      <c r="O22" s="240"/>
      <c r="P22" s="240"/>
      <c r="Q22" s="241"/>
      <c r="R22" s="239"/>
      <c r="S22" s="240"/>
      <c r="T22" s="240"/>
      <c r="U22" s="240"/>
      <c r="V22" s="240"/>
      <c r="W22" s="240"/>
      <c r="X22" s="241"/>
      <c r="Y22" s="251"/>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3"/>
      <c r="BA22" s="19"/>
      <c r="BB22" s="256"/>
      <c r="BC22" s="257"/>
      <c r="BD22" s="257"/>
      <c r="BE22" s="257"/>
      <c r="BF22" s="257"/>
      <c r="BG22" s="257"/>
      <c r="BH22" s="257"/>
      <c r="BI22" s="225"/>
      <c r="BJ22" s="226"/>
      <c r="BK22" s="16"/>
      <c r="BR22" s="18"/>
    </row>
    <row r="23" spans="3:83" ht="31.35" customHeight="1" x14ac:dyDescent="0.4">
      <c r="C23" s="14"/>
      <c r="D23" s="242"/>
      <c r="E23" s="243"/>
      <c r="F23" s="243"/>
      <c r="G23" s="243"/>
      <c r="H23" s="243"/>
      <c r="I23" s="243"/>
      <c r="J23" s="244"/>
      <c r="K23" s="242"/>
      <c r="L23" s="243"/>
      <c r="M23" s="243"/>
      <c r="N23" s="243"/>
      <c r="O23" s="243"/>
      <c r="P23" s="243"/>
      <c r="Q23" s="244"/>
      <c r="R23" s="242"/>
      <c r="S23" s="243"/>
      <c r="T23" s="243"/>
      <c r="U23" s="243"/>
      <c r="V23" s="243"/>
      <c r="W23" s="243"/>
      <c r="X23" s="244"/>
      <c r="Y23" s="260" t="s">
        <v>10</v>
      </c>
      <c r="Z23" s="261"/>
      <c r="AA23" s="261"/>
      <c r="AB23" s="261"/>
      <c r="AC23" s="261"/>
      <c r="AD23" s="261"/>
      <c r="AE23" s="262"/>
      <c r="AF23" s="260" t="s">
        <v>11</v>
      </c>
      <c r="AG23" s="261"/>
      <c r="AH23" s="261"/>
      <c r="AI23" s="261"/>
      <c r="AJ23" s="261"/>
      <c r="AK23" s="261"/>
      <c r="AL23" s="262"/>
      <c r="AM23" s="260" t="s">
        <v>12</v>
      </c>
      <c r="AN23" s="261"/>
      <c r="AO23" s="261"/>
      <c r="AP23" s="261"/>
      <c r="AQ23" s="261"/>
      <c r="AR23" s="261"/>
      <c r="AS23" s="262"/>
      <c r="AT23" s="260" t="s">
        <v>13</v>
      </c>
      <c r="AU23" s="261"/>
      <c r="AV23" s="261"/>
      <c r="AW23" s="261"/>
      <c r="AX23" s="261"/>
      <c r="AY23" s="261"/>
      <c r="AZ23" s="262"/>
      <c r="BA23" s="19"/>
      <c r="BB23" s="258"/>
      <c r="BC23" s="259"/>
      <c r="BD23" s="259"/>
      <c r="BE23" s="259"/>
      <c r="BF23" s="259"/>
      <c r="BG23" s="259"/>
      <c r="BH23" s="259"/>
      <c r="BI23" s="227"/>
      <c r="BJ23" s="228"/>
      <c r="BK23" s="16"/>
      <c r="BR23" s="18"/>
    </row>
    <row r="24" spans="3:83" ht="15.6" customHeight="1" x14ac:dyDescent="0.4">
      <c r="C24" s="14"/>
      <c r="D24" s="121" t="str">
        <f>IF([3]回答表!R41="○","○","")</f>
        <v>○</v>
      </c>
      <c r="E24" s="122"/>
      <c r="F24" s="122"/>
      <c r="G24" s="122"/>
      <c r="H24" s="122"/>
      <c r="I24" s="122"/>
      <c r="J24" s="123"/>
      <c r="K24" s="121" t="str">
        <f>IF([3]回答表!R42="○","○","")</f>
        <v>○</v>
      </c>
      <c r="L24" s="122"/>
      <c r="M24" s="122"/>
      <c r="N24" s="122"/>
      <c r="O24" s="122"/>
      <c r="P24" s="122"/>
      <c r="Q24" s="123"/>
      <c r="R24" s="121" t="str">
        <f>IF([3]回答表!R43="○","○","")</f>
        <v/>
      </c>
      <c r="S24" s="122"/>
      <c r="T24" s="122"/>
      <c r="U24" s="122"/>
      <c r="V24" s="122"/>
      <c r="W24" s="122"/>
      <c r="X24" s="123"/>
      <c r="Y24" s="121" t="str">
        <f>IF([3]回答表!R44="○","○","")</f>
        <v/>
      </c>
      <c r="Z24" s="122"/>
      <c r="AA24" s="122"/>
      <c r="AB24" s="122"/>
      <c r="AC24" s="122"/>
      <c r="AD24" s="122"/>
      <c r="AE24" s="123"/>
      <c r="AF24" s="121" t="str">
        <f>IF([3]回答表!R45="○","○","")</f>
        <v/>
      </c>
      <c r="AG24" s="122"/>
      <c r="AH24" s="122"/>
      <c r="AI24" s="122"/>
      <c r="AJ24" s="122"/>
      <c r="AK24" s="122"/>
      <c r="AL24" s="123"/>
      <c r="AM24" s="121" t="str">
        <f>IF([3]回答表!R46="○","○","")</f>
        <v/>
      </c>
      <c r="AN24" s="122"/>
      <c r="AO24" s="122"/>
      <c r="AP24" s="122"/>
      <c r="AQ24" s="122"/>
      <c r="AR24" s="122"/>
      <c r="AS24" s="123"/>
      <c r="AT24" s="121" t="str">
        <f>IF([3]回答表!R47="○","○","")</f>
        <v/>
      </c>
      <c r="AU24" s="122"/>
      <c r="AV24" s="122"/>
      <c r="AW24" s="122"/>
      <c r="AX24" s="122"/>
      <c r="AY24" s="122"/>
      <c r="AZ24" s="123"/>
      <c r="BA24" s="19"/>
      <c r="BB24" s="118" t="str">
        <f>IF([3]回答表!R48="○","○","")</f>
        <v/>
      </c>
      <c r="BC24" s="119"/>
      <c r="BD24" s="119"/>
      <c r="BE24" s="119"/>
      <c r="BF24" s="119"/>
      <c r="BG24" s="119"/>
      <c r="BH24" s="119"/>
      <c r="BI24" s="223"/>
      <c r="BJ24" s="224"/>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25"/>
      <c r="BJ25" s="226"/>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27"/>
      <c r="BJ26" s="228"/>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IF([3]回答表!X41="○","○","")</f>
        <v/>
      </c>
      <c r="O36" s="98"/>
      <c r="P36" s="98"/>
      <c r="Q36" s="99"/>
      <c r="R36" s="39"/>
      <c r="S36" s="39"/>
      <c r="T36" s="39"/>
      <c r="U36" s="106" t="str">
        <f>IF([3]回答表!X41="○",[3]回答表!B56,IF([3]回答表!AA41="○",[3]回答表!B76,""))</f>
        <v/>
      </c>
      <c r="V36" s="107"/>
      <c r="W36" s="107"/>
      <c r="X36" s="107"/>
      <c r="Y36" s="107"/>
      <c r="Z36" s="107"/>
      <c r="AA36" s="107"/>
      <c r="AB36" s="107"/>
      <c r="AC36" s="107"/>
      <c r="AD36" s="107"/>
      <c r="AE36" s="107"/>
      <c r="AF36" s="107"/>
      <c r="AG36" s="107"/>
      <c r="AH36" s="107"/>
      <c r="AI36" s="107"/>
      <c r="AJ36" s="108"/>
      <c r="AK36" s="50"/>
      <c r="AL36" s="50"/>
      <c r="AM36" s="229" t="s">
        <v>19</v>
      </c>
      <c r="AN36" s="229"/>
      <c r="AO36" s="229"/>
      <c r="AP36" s="229"/>
      <c r="AQ36" s="229"/>
      <c r="AR36" s="229"/>
      <c r="AS36" s="229"/>
      <c r="AT36" s="229"/>
      <c r="AU36" s="229" t="s">
        <v>20</v>
      </c>
      <c r="AV36" s="229"/>
      <c r="AW36" s="229"/>
      <c r="AX36" s="229"/>
      <c r="AY36" s="229"/>
      <c r="AZ36" s="229"/>
      <c r="BA36" s="229"/>
      <c r="BB36" s="229"/>
      <c r="BC36" s="40"/>
      <c r="BD36" s="35"/>
      <c r="BE36" s="115" t="str">
        <f>IF([3]回答表!X41="○",[3]回答表!S62,IF([3]回答表!AA41="○",[3]回答表!S82,""))</f>
        <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29"/>
      <c r="AN37" s="229"/>
      <c r="AO37" s="229"/>
      <c r="AP37" s="229"/>
      <c r="AQ37" s="229"/>
      <c r="AR37" s="229"/>
      <c r="AS37" s="229"/>
      <c r="AT37" s="229"/>
      <c r="AU37" s="229"/>
      <c r="AV37" s="229"/>
      <c r="AW37" s="229"/>
      <c r="AX37" s="229"/>
      <c r="AY37" s="229"/>
      <c r="AZ37" s="229"/>
      <c r="BA37" s="229"/>
      <c r="BB37" s="229"/>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IF([3]回答表!X41="○",[3]回答表!G62,IF([3]回答表!AA41="○",[3]回答表!G82,""))</f>
        <v/>
      </c>
      <c r="AN38" s="119"/>
      <c r="AO38" s="119"/>
      <c r="AP38" s="119"/>
      <c r="AQ38" s="119"/>
      <c r="AR38" s="119"/>
      <c r="AS38" s="119"/>
      <c r="AT38" s="120"/>
      <c r="AU38" s="118" t="str">
        <f>IF([3]回答表!X41="○",[3]回答表!G63,IF([3]回答表!AA41="○",[3]回答表!G83,""))</f>
        <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t="str">
        <f>IF([3]回答表!X41="○",[3]回答表!V62,IF([3]回答表!AA41="○",[3]回答表!V82,""))</f>
        <v/>
      </c>
      <c r="BF39" s="217"/>
      <c r="BG39" s="217"/>
      <c r="BH39" s="218"/>
      <c r="BI39" s="82" t="str">
        <f>IF([3]回答表!X41="○",[3]回答表!V63,IF([3]回答表!AA41="○",[3]回答表!V83,""))</f>
        <v/>
      </c>
      <c r="BJ39" s="217"/>
      <c r="BK39" s="217"/>
      <c r="BL39" s="218"/>
      <c r="BM39" s="82" t="str">
        <f>IF([3]回答表!X41="○",[3]回答表!V64,IF([3]回答表!AA41="○",[3]回答表!V84,""))</f>
        <v/>
      </c>
      <c r="BN39" s="217"/>
      <c r="BO39" s="217"/>
      <c r="BP39" s="218"/>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19"/>
      <c r="BF40" s="217"/>
      <c r="BG40" s="217"/>
      <c r="BH40" s="218"/>
      <c r="BI40" s="219"/>
      <c r="BJ40" s="217"/>
      <c r="BK40" s="217"/>
      <c r="BL40" s="218"/>
      <c r="BM40" s="219"/>
      <c r="BN40" s="217"/>
      <c r="BO40" s="217"/>
      <c r="BP40" s="218"/>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19"/>
      <c r="BF41" s="217"/>
      <c r="BG41" s="217"/>
      <c r="BH41" s="218"/>
      <c r="BI41" s="219"/>
      <c r="BJ41" s="217"/>
      <c r="BK41" s="217"/>
      <c r="BL41" s="218"/>
      <c r="BM41" s="219"/>
      <c r="BN41" s="217"/>
      <c r="BO41" s="217"/>
      <c r="BP41" s="218"/>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215" t="str">
        <f>IF([3]回答表!X41="○",[3]回答表!O68,IF([3]回答表!AA41="○",[3]回答表!O88,""))</f>
        <v/>
      </c>
      <c r="AN42" s="216"/>
      <c r="AO42" s="213" t="s">
        <v>21</v>
      </c>
      <c r="AP42" s="213"/>
      <c r="AQ42" s="213"/>
      <c r="AR42" s="213"/>
      <c r="AS42" s="213"/>
      <c r="AT42" s="213"/>
      <c r="AU42" s="213"/>
      <c r="AV42" s="213"/>
      <c r="AW42" s="213"/>
      <c r="AX42" s="213"/>
      <c r="AY42" s="213"/>
      <c r="AZ42" s="213"/>
      <c r="BA42" s="213"/>
      <c r="BB42" s="214"/>
      <c r="BC42" s="40"/>
      <c r="BD42" s="40"/>
      <c r="BE42" s="219"/>
      <c r="BF42" s="217"/>
      <c r="BG42" s="217"/>
      <c r="BH42" s="218"/>
      <c r="BI42" s="219"/>
      <c r="BJ42" s="217"/>
      <c r="BK42" s="217"/>
      <c r="BL42" s="218"/>
      <c r="BM42" s="219"/>
      <c r="BN42" s="217"/>
      <c r="BO42" s="217"/>
      <c r="BP42" s="218"/>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215" t="str">
        <f>IF([3]回答表!X41="○",[3]回答表!O69,IF([3]回答表!AA41="○",[3]回答表!O89,""))</f>
        <v/>
      </c>
      <c r="AN43" s="216"/>
      <c r="AO43" s="213" t="s">
        <v>22</v>
      </c>
      <c r="AP43" s="213"/>
      <c r="AQ43" s="213"/>
      <c r="AR43" s="213"/>
      <c r="AS43" s="213"/>
      <c r="AT43" s="213"/>
      <c r="AU43" s="213"/>
      <c r="AV43" s="213"/>
      <c r="AW43" s="213"/>
      <c r="AX43" s="213"/>
      <c r="AY43" s="213"/>
      <c r="AZ43" s="213"/>
      <c r="BA43" s="213"/>
      <c r="BB43" s="214"/>
      <c r="BC43" s="40"/>
      <c r="BD43" s="35"/>
      <c r="BE43" s="82" t="s">
        <v>23</v>
      </c>
      <c r="BF43" s="217"/>
      <c r="BG43" s="217"/>
      <c r="BH43" s="218"/>
      <c r="BI43" s="82" t="s">
        <v>24</v>
      </c>
      <c r="BJ43" s="217"/>
      <c r="BK43" s="217"/>
      <c r="BL43" s="218"/>
      <c r="BM43" s="82" t="s">
        <v>25</v>
      </c>
      <c r="BN43" s="217"/>
      <c r="BO43" s="217"/>
      <c r="BP43" s="218"/>
      <c r="BQ43" s="38"/>
      <c r="BR43" s="25"/>
    </row>
    <row r="44" spans="1:70" ht="15.6" customHeight="1" x14ac:dyDescent="0.4">
      <c r="A44" s="25"/>
      <c r="B44" s="25"/>
      <c r="C44" s="33"/>
      <c r="D44" s="140" t="s">
        <v>26</v>
      </c>
      <c r="E44" s="141"/>
      <c r="F44" s="141"/>
      <c r="G44" s="141"/>
      <c r="H44" s="141"/>
      <c r="I44" s="141"/>
      <c r="J44" s="141"/>
      <c r="K44" s="141"/>
      <c r="L44" s="141"/>
      <c r="M44" s="142"/>
      <c r="N44" s="97" t="str">
        <f>IF([3]回答表!AA41="○","○","")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215" t="str">
        <f>IF([3]回答表!X41="○",[3]回答表!O70,IF([3]回答表!AA41="○",[3]回答表!O90,""))</f>
        <v/>
      </c>
      <c r="AN44" s="216"/>
      <c r="AO44" s="213" t="s">
        <v>27</v>
      </c>
      <c r="AP44" s="213"/>
      <c r="AQ44" s="213"/>
      <c r="AR44" s="213"/>
      <c r="AS44" s="213"/>
      <c r="AT44" s="213"/>
      <c r="AU44" s="213"/>
      <c r="AV44" s="213"/>
      <c r="AW44" s="213"/>
      <c r="AX44" s="213"/>
      <c r="AY44" s="213"/>
      <c r="AZ44" s="213"/>
      <c r="BA44" s="213"/>
      <c r="BB44" s="214"/>
      <c r="BC44" s="40"/>
      <c r="BD44" s="54"/>
      <c r="BE44" s="219"/>
      <c r="BF44" s="217"/>
      <c r="BG44" s="217"/>
      <c r="BH44" s="218"/>
      <c r="BI44" s="219"/>
      <c r="BJ44" s="217"/>
      <c r="BK44" s="217"/>
      <c r="BL44" s="218"/>
      <c r="BM44" s="219"/>
      <c r="BN44" s="217"/>
      <c r="BO44" s="217"/>
      <c r="BP44" s="218"/>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215" t="str">
        <f>IF([3]回答表!X41="○",[3]回答表!O71,IF([3]回答表!AA41="○",[3]回答表!O91,""))</f>
        <v/>
      </c>
      <c r="AN45" s="216"/>
      <c r="AO45" s="213" t="s">
        <v>28</v>
      </c>
      <c r="AP45" s="213"/>
      <c r="AQ45" s="213"/>
      <c r="AR45" s="213"/>
      <c r="AS45" s="213"/>
      <c r="AT45" s="213"/>
      <c r="AU45" s="213"/>
      <c r="AV45" s="213"/>
      <c r="AW45" s="213"/>
      <c r="AX45" s="213"/>
      <c r="AY45" s="213"/>
      <c r="AZ45" s="213"/>
      <c r="BA45" s="213"/>
      <c r="BB45" s="214"/>
      <c r="BC45" s="40"/>
      <c r="BD45" s="54"/>
      <c r="BE45" s="220"/>
      <c r="BF45" s="221"/>
      <c r="BG45" s="221"/>
      <c r="BH45" s="222"/>
      <c r="BI45" s="220"/>
      <c r="BJ45" s="221"/>
      <c r="BK45" s="221"/>
      <c r="BL45" s="222"/>
      <c r="BM45" s="220"/>
      <c r="BN45" s="221"/>
      <c r="BO45" s="221"/>
      <c r="BP45" s="222"/>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215" t="str">
        <f>IF([3]回答表!X41="○",[3]回答表!AG68,IF([3]回答表!AA41="○",[3]回答表!AG88,""))</f>
        <v/>
      </c>
      <c r="AN46" s="216"/>
      <c r="AO46" s="213" t="s">
        <v>29</v>
      </c>
      <c r="AP46" s="213"/>
      <c r="AQ46" s="213"/>
      <c r="AR46" s="213"/>
      <c r="AS46" s="213"/>
      <c r="AT46" s="213"/>
      <c r="AU46" s="213"/>
      <c r="AV46" s="213"/>
      <c r="AW46" s="213"/>
      <c r="AX46" s="213"/>
      <c r="AY46" s="213"/>
      <c r="AZ46" s="213"/>
      <c r="BA46" s="213"/>
      <c r="BB46" s="214"/>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215" t="str">
        <f>IF([3]回答表!X41="○",[3]回答表!AG69,IF([3]回答表!AA41="○",[3]回答表!AG89,""))</f>
        <v/>
      </c>
      <c r="AN47" s="216"/>
      <c r="AO47" s="213" t="s">
        <v>30</v>
      </c>
      <c r="AP47" s="213"/>
      <c r="AQ47" s="213"/>
      <c r="AR47" s="213"/>
      <c r="AS47" s="213"/>
      <c r="AT47" s="213"/>
      <c r="AU47" s="213"/>
      <c r="AV47" s="213"/>
      <c r="AW47" s="213"/>
      <c r="AX47" s="213"/>
      <c r="AY47" s="213"/>
      <c r="AZ47" s="213"/>
      <c r="BA47" s="213"/>
      <c r="BB47" s="214"/>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215" t="str">
        <f>IF([3]回答表!X41="○",[3]回答表!AG70,IF([3]回答表!AA41="○",[3]回答表!AG90,""))</f>
        <v/>
      </c>
      <c r="AN48" s="216"/>
      <c r="AO48" s="213" t="s">
        <v>31</v>
      </c>
      <c r="AP48" s="213"/>
      <c r="AQ48" s="213"/>
      <c r="AR48" s="213"/>
      <c r="AS48" s="213"/>
      <c r="AT48" s="213"/>
      <c r="AU48" s="213"/>
      <c r="AV48" s="213"/>
      <c r="AW48" s="213"/>
      <c r="AX48" s="213"/>
      <c r="AY48" s="213"/>
      <c r="AZ48" s="213"/>
      <c r="BA48" s="213"/>
      <c r="BB48" s="214"/>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IF([3]回答表!AD41="○","○","")</f>
        <v>○</v>
      </c>
      <c r="O52" s="98"/>
      <c r="P52" s="98"/>
      <c r="Q52" s="99"/>
      <c r="R52" s="39"/>
      <c r="S52" s="39"/>
      <c r="T52" s="39"/>
      <c r="U52" s="278" t="str">
        <f>IF([3]回答表!AD41="○",[3]回答表!B96,"")</f>
        <v>特定地域生活排水処理地域の市町村設置型浄化槽について、農業集落排水事業の廃止に合わせて、浄化槽を民間譲渡し、事業廃止することを検討している。</v>
      </c>
      <c r="V52" s="279"/>
      <c r="W52" s="279"/>
      <c r="X52" s="279"/>
      <c r="Y52" s="279"/>
      <c r="Z52" s="279"/>
      <c r="AA52" s="279"/>
      <c r="AB52" s="279"/>
      <c r="AC52" s="279"/>
      <c r="AD52" s="279"/>
      <c r="AE52" s="279"/>
      <c r="AF52" s="279"/>
      <c r="AG52" s="279"/>
      <c r="AH52" s="279"/>
      <c r="AI52" s="279"/>
      <c r="AJ52" s="280"/>
      <c r="AK52" s="56"/>
      <c r="AL52" s="56"/>
      <c r="AM52" s="203" t="str">
        <f>IF([3]回答表!AD41="○",[3]回答表!B101,"")</f>
        <v>現在、法定検査実施率９割以上であるが、民間譲渡することにより実施率が低下することが懸念される。また、機器更新の際の残価設定・補助対応について検討が必要である。</v>
      </c>
      <c r="AN52" s="204"/>
      <c r="AO52" s="204"/>
      <c r="AP52" s="204"/>
      <c r="AQ52" s="204"/>
      <c r="AR52" s="204"/>
      <c r="AS52" s="204"/>
      <c r="AT52" s="204"/>
      <c r="AU52" s="204"/>
      <c r="AV52" s="204"/>
      <c r="AW52" s="204"/>
      <c r="AX52" s="204"/>
      <c r="AY52" s="204"/>
      <c r="AZ52" s="204"/>
      <c r="BA52" s="204"/>
      <c r="BB52" s="204"/>
      <c r="BC52" s="204"/>
      <c r="BD52" s="204"/>
      <c r="BE52" s="204"/>
      <c r="BF52" s="204"/>
      <c r="BG52" s="204"/>
      <c r="BH52" s="204"/>
      <c r="BI52" s="204"/>
      <c r="BJ52" s="204"/>
      <c r="BK52" s="204"/>
      <c r="BL52" s="204"/>
      <c r="BM52" s="204"/>
      <c r="BN52" s="204"/>
      <c r="BO52" s="204"/>
      <c r="BP52" s="205"/>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281"/>
      <c r="V53" s="282"/>
      <c r="W53" s="282"/>
      <c r="X53" s="282"/>
      <c r="Y53" s="282"/>
      <c r="Z53" s="282"/>
      <c r="AA53" s="282"/>
      <c r="AB53" s="282"/>
      <c r="AC53" s="282"/>
      <c r="AD53" s="282"/>
      <c r="AE53" s="282"/>
      <c r="AF53" s="282"/>
      <c r="AG53" s="282"/>
      <c r="AH53" s="282"/>
      <c r="AI53" s="282"/>
      <c r="AJ53" s="283"/>
      <c r="AK53" s="56"/>
      <c r="AL53" s="56"/>
      <c r="AM53" s="206"/>
      <c r="AN53" s="207"/>
      <c r="AO53" s="207"/>
      <c r="AP53" s="207"/>
      <c r="AQ53" s="207"/>
      <c r="AR53" s="207"/>
      <c r="AS53" s="207"/>
      <c r="AT53" s="207"/>
      <c r="AU53" s="207"/>
      <c r="AV53" s="207"/>
      <c r="AW53" s="207"/>
      <c r="AX53" s="207"/>
      <c r="AY53" s="207"/>
      <c r="AZ53" s="207"/>
      <c r="BA53" s="207"/>
      <c r="BB53" s="207"/>
      <c r="BC53" s="207"/>
      <c r="BD53" s="207"/>
      <c r="BE53" s="207"/>
      <c r="BF53" s="207"/>
      <c r="BG53" s="207"/>
      <c r="BH53" s="207"/>
      <c r="BI53" s="207"/>
      <c r="BJ53" s="207"/>
      <c r="BK53" s="207"/>
      <c r="BL53" s="207"/>
      <c r="BM53" s="207"/>
      <c r="BN53" s="207"/>
      <c r="BO53" s="207"/>
      <c r="BP53" s="208"/>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281"/>
      <c r="V54" s="282"/>
      <c r="W54" s="282"/>
      <c r="X54" s="282"/>
      <c r="Y54" s="282"/>
      <c r="Z54" s="282"/>
      <c r="AA54" s="282"/>
      <c r="AB54" s="282"/>
      <c r="AC54" s="282"/>
      <c r="AD54" s="282"/>
      <c r="AE54" s="282"/>
      <c r="AF54" s="282"/>
      <c r="AG54" s="282"/>
      <c r="AH54" s="282"/>
      <c r="AI54" s="282"/>
      <c r="AJ54" s="283"/>
      <c r="AK54" s="56"/>
      <c r="AL54" s="56"/>
      <c r="AM54" s="206"/>
      <c r="AN54" s="207"/>
      <c r="AO54" s="207"/>
      <c r="AP54" s="207"/>
      <c r="AQ54" s="207"/>
      <c r="AR54" s="207"/>
      <c r="AS54" s="207"/>
      <c r="AT54" s="207"/>
      <c r="AU54" s="207"/>
      <c r="AV54" s="207"/>
      <c r="AW54" s="207"/>
      <c r="AX54" s="207"/>
      <c r="AY54" s="207"/>
      <c r="AZ54" s="207"/>
      <c r="BA54" s="207"/>
      <c r="BB54" s="207"/>
      <c r="BC54" s="207"/>
      <c r="BD54" s="207"/>
      <c r="BE54" s="207"/>
      <c r="BF54" s="207"/>
      <c r="BG54" s="207"/>
      <c r="BH54" s="207"/>
      <c r="BI54" s="207"/>
      <c r="BJ54" s="207"/>
      <c r="BK54" s="207"/>
      <c r="BL54" s="207"/>
      <c r="BM54" s="207"/>
      <c r="BN54" s="207"/>
      <c r="BO54" s="207"/>
      <c r="BP54" s="208"/>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284"/>
      <c r="V55" s="285"/>
      <c r="W55" s="285"/>
      <c r="X55" s="285"/>
      <c r="Y55" s="285"/>
      <c r="Z55" s="285"/>
      <c r="AA55" s="285"/>
      <c r="AB55" s="285"/>
      <c r="AC55" s="285"/>
      <c r="AD55" s="285"/>
      <c r="AE55" s="285"/>
      <c r="AF55" s="285"/>
      <c r="AG55" s="285"/>
      <c r="AH55" s="285"/>
      <c r="AI55" s="285"/>
      <c r="AJ55" s="286"/>
      <c r="AK55" s="56"/>
      <c r="AL55" s="56"/>
      <c r="AM55" s="209"/>
      <c r="AN55" s="210"/>
      <c r="AO55" s="210"/>
      <c r="AP55" s="210"/>
      <c r="AQ55" s="210"/>
      <c r="AR55" s="210"/>
      <c r="AS55" s="210"/>
      <c r="AT55" s="210"/>
      <c r="AU55" s="210"/>
      <c r="AV55" s="210"/>
      <c r="AW55" s="210"/>
      <c r="AX55" s="210"/>
      <c r="AY55" s="210"/>
      <c r="AZ55" s="210"/>
      <c r="BA55" s="210"/>
      <c r="BB55" s="210"/>
      <c r="BC55" s="210"/>
      <c r="BD55" s="210"/>
      <c r="BE55" s="210"/>
      <c r="BF55" s="210"/>
      <c r="BG55" s="210"/>
      <c r="BH55" s="210"/>
      <c r="BI55" s="210"/>
      <c r="BJ55" s="210"/>
      <c r="BK55" s="210"/>
      <c r="BL55" s="210"/>
      <c r="BM55" s="210"/>
      <c r="BN55" s="210"/>
      <c r="BO55" s="210"/>
      <c r="BP55" s="211"/>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IF([3]回答表!X42="○","○","")</f>
        <v/>
      </c>
      <c r="O63" s="98"/>
      <c r="P63" s="98"/>
      <c r="Q63" s="99"/>
      <c r="R63" s="39"/>
      <c r="S63" s="39"/>
      <c r="T63" s="39"/>
      <c r="U63" s="106" t="str">
        <f>IF([3]回答表!X42="○",[3]回答表!B111,IF([3]回答表!AA42="○",[3]回答表!B124,""))</f>
        <v/>
      </c>
      <c r="V63" s="107"/>
      <c r="W63" s="107"/>
      <c r="X63" s="107"/>
      <c r="Y63" s="107"/>
      <c r="Z63" s="107"/>
      <c r="AA63" s="107"/>
      <c r="AB63" s="107"/>
      <c r="AC63" s="107"/>
      <c r="AD63" s="107"/>
      <c r="AE63" s="107"/>
      <c r="AF63" s="107"/>
      <c r="AG63" s="107"/>
      <c r="AH63" s="107"/>
      <c r="AI63" s="107"/>
      <c r="AJ63" s="108"/>
      <c r="AK63" s="50"/>
      <c r="AL63" s="50"/>
      <c r="AM63" s="212" t="s">
        <v>37</v>
      </c>
      <c r="AN63" s="212"/>
      <c r="AO63" s="212"/>
      <c r="AP63" s="212"/>
      <c r="AQ63" s="212"/>
      <c r="AR63" s="212"/>
      <c r="AS63" s="212"/>
      <c r="AT63" s="212"/>
      <c r="AU63" s="212" t="s">
        <v>38</v>
      </c>
      <c r="AV63" s="212"/>
      <c r="AW63" s="212"/>
      <c r="AX63" s="212"/>
      <c r="AY63" s="212"/>
      <c r="AZ63" s="212"/>
      <c r="BA63" s="212"/>
      <c r="BB63" s="212"/>
      <c r="BC63" s="40"/>
      <c r="BD63" s="35"/>
      <c r="BE63" s="115" t="str">
        <f>IF([3]回答表!X42="○",[3]回答表!S117,IF([3]回答表!AA42="○",[3]回答表!S130,""))</f>
        <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212"/>
      <c r="AN64" s="212"/>
      <c r="AO64" s="212"/>
      <c r="AP64" s="212"/>
      <c r="AQ64" s="212"/>
      <c r="AR64" s="212"/>
      <c r="AS64" s="212"/>
      <c r="AT64" s="212"/>
      <c r="AU64" s="212"/>
      <c r="AV64" s="212"/>
      <c r="AW64" s="212"/>
      <c r="AX64" s="212"/>
      <c r="AY64" s="212"/>
      <c r="AZ64" s="212"/>
      <c r="BA64" s="212"/>
      <c r="BB64" s="212"/>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212"/>
      <c r="AN65" s="212"/>
      <c r="AO65" s="212"/>
      <c r="AP65" s="212"/>
      <c r="AQ65" s="212"/>
      <c r="AR65" s="212"/>
      <c r="AS65" s="212"/>
      <c r="AT65" s="212"/>
      <c r="AU65" s="212"/>
      <c r="AV65" s="212"/>
      <c r="AW65" s="212"/>
      <c r="AX65" s="212"/>
      <c r="AY65" s="212"/>
      <c r="AZ65" s="212"/>
      <c r="BA65" s="212"/>
      <c r="BB65" s="212"/>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IF([3]回答表!X42="○",[3]回答表!J117,IF([3]回答表!AA42="○",[3]回答表!J130,""))</f>
        <v/>
      </c>
      <c r="AN66" s="119"/>
      <c r="AO66" s="119"/>
      <c r="AP66" s="119"/>
      <c r="AQ66" s="119"/>
      <c r="AR66" s="119"/>
      <c r="AS66" s="119"/>
      <c r="AT66" s="120"/>
      <c r="AU66" s="118" t="str">
        <f>IF([3]回答表!X42="○",[3]回答表!J118,IF([3]回答表!AA42="○",[3]回答表!J131,""))</f>
        <v/>
      </c>
      <c r="AV66" s="119"/>
      <c r="AW66" s="119"/>
      <c r="AX66" s="119"/>
      <c r="AY66" s="119"/>
      <c r="AZ66" s="119"/>
      <c r="BA66" s="119"/>
      <c r="BB66" s="120"/>
      <c r="BC66" s="40"/>
      <c r="BD66" s="35"/>
      <c r="BE66" s="82" t="str">
        <f>IF([3]回答表!X42="○",[3]回答表!V117,IF([3]回答表!AA42="○",[3]回答表!V130,""))</f>
        <v/>
      </c>
      <c r="BF66" s="83"/>
      <c r="BG66" s="83"/>
      <c r="BH66" s="83"/>
      <c r="BI66" s="82" t="str">
        <f>IF([3]回答表!X42="○",[3]回答表!V118,IF([3]回答表!AA42="○",[3]回答表!V131,""))</f>
        <v/>
      </c>
      <c r="BJ66" s="83"/>
      <c r="BK66" s="83"/>
      <c r="BL66" s="83"/>
      <c r="BM66" s="82" t="str">
        <f>IF([3]回答表!X42="○",[3]回答表!V119,IF([3]回答表!AA42="○",[3]回答表!V132,""))</f>
        <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IF([3]回答表!AA42="○","○","")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IF([3]回答表!AD42="○","○","")</f>
        <v>○</v>
      </c>
      <c r="O75" s="98"/>
      <c r="P75" s="98"/>
      <c r="Q75" s="99"/>
      <c r="R75" s="39"/>
      <c r="S75" s="39"/>
      <c r="T75" s="39"/>
      <c r="U75" s="287" t="str">
        <f>IF([3]回答表!AD42="○",[3]回答表!B137,"")</f>
        <v>特定地域生活排水処理地域の市町村設置型浄化槽について、農業集落排水事業の廃止に合わせて、浄化槽の民間譲渡を検討している。</v>
      </c>
      <c r="V75" s="288"/>
      <c r="W75" s="288"/>
      <c r="X75" s="288"/>
      <c r="Y75" s="288"/>
      <c r="Z75" s="288"/>
      <c r="AA75" s="288"/>
      <c r="AB75" s="288"/>
      <c r="AC75" s="288"/>
      <c r="AD75" s="288"/>
      <c r="AE75" s="288"/>
      <c r="AF75" s="288"/>
      <c r="AG75" s="288"/>
      <c r="AH75" s="288"/>
      <c r="AI75" s="288"/>
      <c r="AJ75" s="289"/>
      <c r="AK75" s="56"/>
      <c r="AL75" s="56"/>
      <c r="AM75" s="203" t="str">
        <f>IF([3]回答表!AD42="○",[3]回答表!B143,"")</f>
        <v>現在、法定検査実施率９割以上であるが、民間譲渡することにより実施率が低下することが懸念される。また、機器更新の際の残価設定・補助対応について検討が必要である。</v>
      </c>
      <c r="AN75" s="204"/>
      <c r="AO75" s="204"/>
      <c r="AP75" s="204"/>
      <c r="AQ75" s="204"/>
      <c r="AR75" s="204"/>
      <c r="AS75" s="204"/>
      <c r="AT75" s="204"/>
      <c r="AU75" s="204"/>
      <c r="AV75" s="204"/>
      <c r="AW75" s="204"/>
      <c r="AX75" s="204"/>
      <c r="AY75" s="204"/>
      <c r="AZ75" s="204"/>
      <c r="BA75" s="204"/>
      <c r="BB75" s="204"/>
      <c r="BC75" s="204"/>
      <c r="BD75" s="204"/>
      <c r="BE75" s="204"/>
      <c r="BF75" s="204"/>
      <c r="BG75" s="204"/>
      <c r="BH75" s="204"/>
      <c r="BI75" s="204"/>
      <c r="BJ75" s="204"/>
      <c r="BK75" s="204"/>
      <c r="BL75" s="204"/>
      <c r="BM75" s="204"/>
      <c r="BN75" s="204"/>
      <c r="BO75" s="204"/>
      <c r="BP75" s="205"/>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290"/>
      <c r="V76" s="291"/>
      <c r="W76" s="291"/>
      <c r="X76" s="291"/>
      <c r="Y76" s="291"/>
      <c r="Z76" s="291"/>
      <c r="AA76" s="291"/>
      <c r="AB76" s="291"/>
      <c r="AC76" s="291"/>
      <c r="AD76" s="291"/>
      <c r="AE76" s="291"/>
      <c r="AF76" s="291"/>
      <c r="AG76" s="291"/>
      <c r="AH76" s="291"/>
      <c r="AI76" s="291"/>
      <c r="AJ76" s="292"/>
      <c r="AK76" s="56"/>
      <c r="AL76" s="56"/>
      <c r="AM76" s="206"/>
      <c r="AN76" s="207"/>
      <c r="AO76" s="207"/>
      <c r="AP76" s="207"/>
      <c r="AQ76" s="207"/>
      <c r="AR76" s="207"/>
      <c r="AS76" s="207"/>
      <c r="AT76" s="207"/>
      <c r="AU76" s="207"/>
      <c r="AV76" s="207"/>
      <c r="AW76" s="207"/>
      <c r="AX76" s="207"/>
      <c r="AY76" s="207"/>
      <c r="AZ76" s="207"/>
      <c r="BA76" s="207"/>
      <c r="BB76" s="207"/>
      <c r="BC76" s="207"/>
      <c r="BD76" s="207"/>
      <c r="BE76" s="207"/>
      <c r="BF76" s="207"/>
      <c r="BG76" s="207"/>
      <c r="BH76" s="207"/>
      <c r="BI76" s="207"/>
      <c r="BJ76" s="207"/>
      <c r="BK76" s="207"/>
      <c r="BL76" s="207"/>
      <c r="BM76" s="207"/>
      <c r="BN76" s="207"/>
      <c r="BO76" s="207"/>
      <c r="BP76" s="208"/>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290"/>
      <c r="V77" s="291"/>
      <c r="W77" s="291"/>
      <c r="X77" s="291"/>
      <c r="Y77" s="291"/>
      <c r="Z77" s="291"/>
      <c r="AA77" s="291"/>
      <c r="AB77" s="291"/>
      <c r="AC77" s="291"/>
      <c r="AD77" s="291"/>
      <c r="AE77" s="291"/>
      <c r="AF77" s="291"/>
      <c r="AG77" s="291"/>
      <c r="AH77" s="291"/>
      <c r="AI77" s="291"/>
      <c r="AJ77" s="292"/>
      <c r="AK77" s="56"/>
      <c r="AL77" s="56"/>
      <c r="AM77" s="206"/>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207"/>
      <c r="BM77" s="207"/>
      <c r="BN77" s="207"/>
      <c r="BO77" s="207"/>
      <c r="BP77" s="208"/>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293"/>
      <c r="V78" s="294"/>
      <c r="W78" s="294"/>
      <c r="X78" s="294"/>
      <c r="Y78" s="294"/>
      <c r="Z78" s="294"/>
      <c r="AA78" s="294"/>
      <c r="AB78" s="294"/>
      <c r="AC78" s="294"/>
      <c r="AD78" s="294"/>
      <c r="AE78" s="294"/>
      <c r="AF78" s="294"/>
      <c r="AG78" s="294"/>
      <c r="AH78" s="294"/>
      <c r="AI78" s="294"/>
      <c r="AJ78" s="295"/>
      <c r="AK78" s="56"/>
      <c r="AL78" s="56"/>
      <c r="AM78" s="209"/>
      <c r="AN78" s="210"/>
      <c r="AO78" s="210"/>
      <c r="AP78" s="210"/>
      <c r="AQ78" s="210"/>
      <c r="AR78" s="210"/>
      <c r="AS78" s="210"/>
      <c r="AT78" s="210"/>
      <c r="AU78" s="210"/>
      <c r="AV78" s="210"/>
      <c r="AW78" s="210"/>
      <c r="AX78" s="210"/>
      <c r="AY78" s="210"/>
      <c r="AZ78" s="210"/>
      <c r="BA78" s="210"/>
      <c r="BB78" s="210"/>
      <c r="BC78" s="210"/>
      <c r="BD78" s="210"/>
      <c r="BE78" s="210"/>
      <c r="BF78" s="210"/>
      <c r="BG78" s="210"/>
      <c r="BH78" s="210"/>
      <c r="BI78" s="210"/>
      <c r="BJ78" s="210"/>
      <c r="BK78" s="210"/>
      <c r="BL78" s="210"/>
      <c r="BM78" s="210"/>
      <c r="BN78" s="210"/>
      <c r="BO78" s="210"/>
      <c r="BP78" s="211"/>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62"/>
      <c r="AS81" s="162"/>
      <c r="AT81" s="162"/>
      <c r="AU81" s="162"/>
      <c r="AV81" s="162"/>
      <c r="AW81" s="162"/>
      <c r="AX81" s="162"/>
      <c r="AY81" s="162"/>
      <c r="AZ81" s="162"/>
      <c r="BA81" s="162"/>
      <c r="BB81" s="162"/>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87"/>
      <c r="AS82" s="187"/>
      <c r="AT82" s="187"/>
      <c r="AU82" s="187"/>
      <c r="AV82" s="187"/>
      <c r="AW82" s="187"/>
      <c r="AX82" s="187"/>
      <c r="AY82" s="187"/>
      <c r="AZ82" s="187"/>
      <c r="BA82" s="187"/>
      <c r="BB82" s="187"/>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81" t="s">
        <v>18</v>
      </c>
      <c r="E87" s="181"/>
      <c r="F87" s="181"/>
      <c r="G87" s="181"/>
      <c r="H87" s="181"/>
      <c r="I87" s="181"/>
      <c r="J87" s="181"/>
      <c r="K87" s="181"/>
      <c r="L87" s="181"/>
      <c r="M87" s="181"/>
      <c r="N87" s="97" t="str">
        <f>IF([3]回答表!F17="水道事業",IF([3]回答表!X43="○","○",""),"")</f>
        <v/>
      </c>
      <c r="O87" s="98"/>
      <c r="P87" s="98"/>
      <c r="Q87" s="99"/>
      <c r="R87" s="39"/>
      <c r="S87" s="39"/>
      <c r="T87" s="39"/>
      <c r="U87" s="188" t="s">
        <v>41</v>
      </c>
      <c r="V87" s="189"/>
      <c r="W87" s="189"/>
      <c r="X87" s="189"/>
      <c r="Y87" s="189"/>
      <c r="Z87" s="189"/>
      <c r="AA87" s="189"/>
      <c r="AB87" s="189"/>
      <c r="AC87" s="188" t="s">
        <v>42</v>
      </c>
      <c r="AD87" s="189"/>
      <c r="AE87" s="189"/>
      <c r="AF87" s="189"/>
      <c r="AG87" s="189"/>
      <c r="AH87" s="189"/>
      <c r="AI87" s="189"/>
      <c r="AJ87" s="198"/>
      <c r="AK87" s="50"/>
      <c r="AL87" s="50"/>
      <c r="AM87" s="106" t="str">
        <f>IF([3]回答表!F17="水道事業",IF([3]回答表!X43="○",[3]回答表!B154,IF([3]回答表!AA43="○",[3]回答表!B201,"")),"")</f>
        <v/>
      </c>
      <c r="AN87" s="107"/>
      <c r="AO87" s="107"/>
      <c r="AP87" s="107"/>
      <c r="AQ87" s="107"/>
      <c r="AR87" s="107"/>
      <c r="AS87" s="107"/>
      <c r="AT87" s="107"/>
      <c r="AU87" s="107"/>
      <c r="AV87" s="107"/>
      <c r="AW87" s="107"/>
      <c r="AX87" s="107"/>
      <c r="AY87" s="107"/>
      <c r="AZ87" s="107"/>
      <c r="BA87" s="107"/>
      <c r="BB87" s="108"/>
      <c r="BC87" s="40"/>
      <c r="BD87" s="35"/>
      <c r="BE87" s="115" t="str">
        <f>IF([3]回答表!F17="水道事業",IF([3]回答表!X43="○",[3]回答表!B190,IF([3]回答表!AA43="○",[3]回答表!B238,"")),"")</f>
        <v/>
      </c>
      <c r="BF87" s="116"/>
      <c r="BG87" s="116"/>
      <c r="BH87" s="116"/>
      <c r="BI87" s="115"/>
      <c r="BJ87" s="116"/>
      <c r="BK87" s="116"/>
      <c r="BL87" s="116"/>
      <c r="BM87" s="115"/>
      <c r="BN87" s="116"/>
      <c r="BO87" s="116"/>
      <c r="BP87" s="117"/>
      <c r="BQ87" s="38"/>
    </row>
    <row r="88" spans="3:69" ht="19.350000000000001" customHeight="1" x14ac:dyDescent="0.4">
      <c r="C88" s="33"/>
      <c r="D88" s="181"/>
      <c r="E88" s="181"/>
      <c r="F88" s="181"/>
      <c r="G88" s="181"/>
      <c r="H88" s="181"/>
      <c r="I88" s="181"/>
      <c r="J88" s="181"/>
      <c r="K88" s="181"/>
      <c r="L88" s="181"/>
      <c r="M88" s="181"/>
      <c r="N88" s="100"/>
      <c r="O88" s="101"/>
      <c r="P88" s="101"/>
      <c r="Q88" s="102"/>
      <c r="R88" s="39"/>
      <c r="S88" s="39"/>
      <c r="T88" s="39"/>
      <c r="U88" s="190"/>
      <c r="V88" s="191"/>
      <c r="W88" s="191"/>
      <c r="X88" s="191"/>
      <c r="Y88" s="191"/>
      <c r="Z88" s="191"/>
      <c r="AA88" s="191"/>
      <c r="AB88" s="191"/>
      <c r="AC88" s="190"/>
      <c r="AD88" s="191"/>
      <c r="AE88" s="191"/>
      <c r="AF88" s="191"/>
      <c r="AG88" s="191"/>
      <c r="AH88" s="191"/>
      <c r="AI88" s="191"/>
      <c r="AJ88" s="199"/>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81"/>
      <c r="E89" s="181"/>
      <c r="F89" s="181"/>
      <c r="G89" s="181"/>
      <c r="H89" s="181"/>
      <c r="I89" s="181"/>
      <c r="J89" s="181"/>
      <c r="K89" s="181"/>
      <c r="L89" s="181"/>
      <c r="M89" s="181"/>
      <c r="N89" s="100"/>
      <c r="O89" s="101"/>
      <c r="P89" s="101"/>
      <c r="Q89" s="102"/>
      <c r="R89" s="39"/>
      <c r="S89" s="39"/>
      <c r="T89" s="39"/>
      <c r="U89" s="118" t="str">
        <f>IF([3]回答表!F17="水道事業",IF([3]回答表!X43="○",[3]回答表!J162,IF([3]回答表!AA43="○",[3]回答表!J209,"")),"")</f>
        <v/>
      </c>
      <c r="V89" s="119"/>
      <c r="W89" s="119"/>
      <c r="X89" s="119"/>
      <c r="Y89" s="119"/>
      <c r="Z89" s="119"/>
      <c r="AA89" s="119"/>
      <c r="AB89" s="120"/>
      <c r="AC89" s="118" t="str">
        <f>IF([3]回答表!F17="水道事業",IF([3]回答表!X43="○",[3]回答表!J169,IF([3]回答表!AA43="○",[3]回答表!J216,"")),"")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81"/>
      <c r="E90" s="181"/>
      <c r="F90" s="181"/>
      <c r="G90" s="181"/>
      <c r="H90" s="181"/>
      <c r="I90" s="181"/>
      <c r="J90" s="181"/>
      <c r="K90" s="181"/>
      <c r="L90" s="181"/>
      <c r="M90" s="181"/>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IF([3]回答表!F17="水道事業",IF([3]回答表!X43="○",[3]回答表!E190,IF([3]回答表!AA43="○",[3]回答表!E238,"")),"")</f>
        <v/>
      </c>
      <c r="BF90" s="83"/>
      <c r="BG90" s="83"/>
      <c r="BH90" s="83"/>
      <c r="BI90" s="82" t="str">
        <f>IF([3]回答表!F17="水道事業",IF([3]回答表!X43="○",[3]回答表!E191,IF([3]回答表!AA43="○",[3]回答表!E239,"")),"")</f>
        <v/>
      </c>
      <c r="BJ90" s="83"/>
      <c r="BK90" s="83"/>
      <c r="BL90" s="83"/>
      <c r="BM90" s="82" t="str">
        <f>IF([3]回答表!F17="水道事業",IF([3]回答表!X43="○",[3]回答表!E192,IF([3]回答表!AA43="○",[3]回答表!E240,"")),"")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88" t="s">
        <v>43</v>
      </c>
      <c r="V92" s="189"/>
      <c r="W92" s="189"/>
      <c r="X92" s="189"/>
      <c r="Y92" s="189"/>
      <c r="Z92" s="189"/>
      <c r="AA92" s="189"/>
      <c r="AB92" s="189"/>
      <c r="AC92" s="188" t="s">
        <v>44</v>
      </c>
      <c r="AD92" s="189"/>
      <c r="AE92" s="189"/>
      <c r="AF92" s="189"/>
      <c r="AG92" s="189"/>
      <c r="AH92" s="189"/>
      <c r="AI92" s="189"/>
      <c r="AJ92" s="198"/>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86" t="s">
        <v>26</v>
      </c>
      <c r="E93" s="181"/>
      <c r="F93" s="181"/>
      <c r="G93" s="181"/>
      <c r="H93" s="181"/>
      <c r="I93" s="181"/>
      <c r="J93" s="181"/>
      <c r="K93" s="181"/>
      <c r="L93" s="181"/>
      <c r="M93" s="182"/>
      <c r="N93" s="97" t="str">
        <f>IF([3]回答表!F17="水道事業",IF([3]回答表!AA43="○","○",""),"")</f>
        <v/>
      </c>
      <c r="O93" s="98"/>
      <c r="P93" s="98"/>
      <c r="Q93" s="99"/>
      <c r="R93" s="39"/>
      <c r="S93" s="39"/>
      <c r="T93" s="39"/>
      <c r="U93" s="190"/>
      <c r="V93" s="191"/>
      <c r="W93" s="191"/>
      <c r="X93" s="191"/>
      <c r="Y93" s="191"/>
      <c r="Z93" s="191"/>
      <c r="AA93" s="191"/>
      <c r="AB93" s="191"/>
      <c r="AC93" s="190"/>
      <c r="AD93" s="191"/>
      <c r="AE93" s="191"/>
      <c r="AF93" s="191"/>
      <c r="AG93" s="191"/>
      <c r="AH93" s="191"/>
      <c r="AI93" s="191"/>
      <c r="AJ93" s="199"/>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81"/>
      <c r="E94" s="181"/>
      <c r="F94" s="181"/>
      <c r="G94" s="181"/>
      <c r="H94" s="181"/>
      <c r="I94" s="181"/>
      <c r="J94" s="181"/>
      <c r="K94" s="181"/>
      <c r="L94" s="181"/>
      <c r="M94" s="182"/>
      <c r="N94" s="100"/>
      <c r="O94" s="101"/>
      <c r="P94" s="101"/>
      <c r="Q94" s="102"/>
      <c r="R94" s="39"/>
      <c r="S94" s="39"/>
      <c r="T94" s="39"/>
      <c r="U94" s="118" t="str">
        <f>IF([3]回答表!F17="水道事業",IF([3]回答表!X43="○",[3]回答表!J172,IF([3]回答表!AA43="○",[3]回答表!J219,"")),"")</f>
        <v/>
      </c>
      <c r="V94" s="119"/>
      <c r="W94" s="119"/>
      <c r="X94" s="119"/>
      <c r="Y94" s="119"/>
      <c r="Z94" s="119"/>
      <c r="AA94" s="119"/>
      <c r="AB94" s="120"/>
      <c r="AC94" s="118" t="str">
        <f>IF([3]回答表!F17="水道事業",IF([3]回答表!X43="○",[3]回答表!J176,IF([3]回答表!AA43="○",[3]回答表!J223,"")),"")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81"/>
      <c r="E95" s="181"/>
      <c r="F95" s="181"/>
      <c r="G95" s="181"/>
      <c r="H95" s="181"/>
      <c r="I95" s="181"/>
      <c r="J95" s="181"/>
      <c r="K95" s="181"/>
      <c r="L95" s="181"/>
      <c r="M95" s="182"/>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81"/>
      <c r="E96" s="181"/>
      <c r="F96" s="181"/>
      <c r="G96" s="181"/>
      <c r="H96" s="181"/>
      <c r="I96" s="181"/>
      <c r="J96" s="181"/>
      <c r="K96" s="181"/>
      <c r="L96" s="181"/>
      <c r="M96" s="182"/>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81" t="s">
        <v>34</v>
      </c>
      <c r="E99" s="181"/>
      <c r="F99" s="181"/>
      <c r="G99" s="181"/>
      <c r="H99" s="181"/>
      <c r="I99" s="181"/>
      <c r="J99" s="181"/>
      <c r="K99" s="181"/>
      <c r="L99" s="181"/>
      <c r="M99" s="182"/>
      <c r="N99" s="97" t="str">
        <f>IF([3]回答表!F17="水道事業",IF([3]回答表!AD43="○","○",""),"")</f>
        <v/>
      </c>
      <c r="O99" s="98"/>
      <c r="P99" s="98"/>
      <c r="Q99" s="99"/>
      <c r="R99" s="39"/>
      <c r="S99" s="39"/>
      <c r="T99" s="39"/>
      <c r="U99" s="106" t="str">
        <f>IF([3]回答表!F17="水道事業",IF([3]回答表!AD43="○",[3]回答表!B249,""),"")</f>
        <v/>
      </c>
      <c r="V99" s="107"/>
      <c r="W99" s="107"/>
      <c r="X99" s="107"/>
      <c r="Y99" s="107"/>
      <c r="Z99" s="107"/>
      <c r="AA99" s="107"/>
      <c r="AB99" s="107"/>
      <c r="AC99" s="107"/>
      <c r="AD99" s="107"/>
      <c r="AE99" s="107"/>
      <c r="AF99" s="107"/>
      <c r="AG99" s="107"/>
      <c r="AH99" s="107"/>
      <c r="AI99" s="107"/>
      <c r="AJ99" s="108"/>
      <c r="AK99" s="56"/>
      <c r="AL99" s="56"/>
      <c r="AM99" s="106" t="str">
        <f>IF([3]回答表!F17="水道事業",IF([3]回答表!AD43="○",[3]回答表!B255,""),"")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81"/>
      <c r="E100" s="181"/>
      <c r="F100" s="181"/>
      <c r="G100" s="181"/>
      <c r="H100" s="181"/>
      <c r="I100" s="181"/>
      <c r="J100" s="181"/>
      <c r="K100" s="181"/>
      <c r="L100" s="181"/>
      <c r="M100" s="182"/>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81"/>
      <c r="E101" s="181"/>
      <c r="F101" s="181"/>
      <c r="G101" s="181"/>
      <c r="H101" s="181"/>
      <c r="I101" s="181"/>
      <c r="J101" s="181"/>
      <c r="K101" s="181"/>
      <c r="L101" s="181"/>
      <c r="M101" s="182"/>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81"/>
      <c r="E102" s="181"/>
      <c r="F102" s="181"/>
      <c r="G102" s="181"/>
      <c r="H102" s="181"/>
      <c r="I102" s="181"/>
      <c r="J102" s="181"/>
      <c r="K102" s="181"/>
      <c r="L102" s="181"/>
      <c r="M102" s="182"/>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62"/>
      <c r="AS105" s="162"/>
      <c r="AT105" s="162"/>
      <c r="AU105" s="162"/>
      <c r="AV105" s="162"/>
      <c r="AW105" s="162"/>
      <c r="AX105" s="162"/>
      <c r="AY105" s="162"/>
      <c r="AZ105" s="162"/>
      <c r="BA105" s="162"/>
      <c r="BB105" s="162"/>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87"/>
      <c r="AS106" s="187"/>
      <c r="AT106" s="187"/>
      <c r="AU106" s="187"/>
      <c r="AV106" s="187"/>
      <c r="AW106" s="187"/>
      <c r="AX106" s="187"/>
      <c r="AY106" s="187"/>
      <c r="AZ106" s="187"/>
      <c r="BA106" s="187"/>
      <c r="BB106" s="187"/>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81" t="s">
        <v>18</v>
      </c>
      <c r="E111" s="181"/>
      <c r="F111" s="181"/>
      <c r="G111" s="181"/>
      <c r="H111" s="181"/>
      <c r="I111" s="181"/>
      <c r="J111" s="181"/>
      <c r="K111" s="181"/>
      <c r="L111" s="181"/>
      <c r="M111" s="181"/>
      <c r="N111" s="97" t="str">
        <f>IF([3]回答表!F17="簡易水道事業",IF([3]回答表!X43="○","○",""),"")</f>
        <v/>
      </c>
      <c r="O111" s="98"/>
      <c r="P111" s="98"/>
      <c r="Q111" s="99"/>
      <c r="R111" s="39"/>
      <c r="S111" s="39"/>
      <c r="T111" s="39"/>
      <c r="U111" s="188" t="s">
        <v>46</v>
      </c>
      <c r="V111" s="189"/>
      <c r="W111" s="189"/>
      <c r="X111" s="189"/>
      <c r="Y111" s="189"/>
      <c r="Z111" s="189"/>
      <c r="AA111" s="189"/>
      <c r="AB111" s="189"/>
      <c r="AC111" s="189"/>
      <c r="AD111" s="189"/>
      <c r="AE111" s="189"/>
      <c r="AF111" s="189"/>
      <c r="AG111" s="189"/>
      <c r="AH111" s="189"/>
      <c r="AI111" s="189"/>
      <c r="AJ111" s="198"/>
      <c r="AK111" s="50"/>
      <c r="AL111" s="50"/>
      <c r="AM111" s="106" t="str">
        <f>IF([3]回答表!F17="簡易水道事業",IF([3]回答表!X43="○",[3]回答表!B154,IF([3]回答表!AA43="○",[3]回答表!B201,"")),"")</f>
        <v/>
      </c>
      <c r="AN111" s="107"/>
      <c r="AO111" s="107"/>
      <c r="AP111" s="107"/>
      <c r="AQ111" s="107"/>
      <c r="AR111" s="107"/>
      <c r="AS111" s="107"/>
      <c r="AT111" s="107"/>
      <c r="AU111" s="107"/>
      <c r="AV111" s="107"/>
      <c r="AW111" s="107"/>
      <c r="AX111" s="107"/>
      <c r="AY111" s="107"/>
      <c r="AZ111" s="107"/>
      <c r="BA111" s="107"/>
      <c r="BB111" s="108"/>
      <c r="BC111" s="40"/>
      <c r="BD111" s="35"/>
      <c r="BE111" s="115" t="str">
        <f>IF([3]回答表!F17="簡易水道事業",IF([3]回答表!X43="○",[3]回答表!B190,IF([3]回答表!AA43="○",[3]回答表!B238,"")),"")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81"/>
      <c r="E112" s="181"/>
      <c r="F112" s="181"/>
      <c r="G112" s="181"/>
      <c r="H112" s="181"/>
      <c r="I112" s="181"/>
      <c r="J112" s="181"/>
      <c r="K112" s="181"/>
      <c r="L112" s="181"/>
      <c r="M112" s="181"/>
      <c r="N112" s="100"/>
      <c r="O112" s="101"/>
      <c r="P112" s="101"/>
      <c r="Q112" s="102"/>
      <c r="R112" s="39"/>
      <c r="S112" s="39"/>
      <c r="T112" s="39"/>
      <c r="U112" s="200"/>
      <c r="V112" s="201"/>
      <c r="W112" s="201"/>
      <c r="X112" s="201"/>
      <c r="Y112" s="201"/>
      <c r="Z112" s="201"/>
      <c r="AA112" s="201"/>
      <c r="AB112" s="201"/>
      <c r="AC112" s="201"/>
      <c r="AD112" s="201"/>
      <c r="AE112" s="201"/>
      <c r="AF112" s="201"/>
      <c r="AG112" s="201"/>
      <c r="AH112" s="201"/>
      <c r="AI112" s="201"/>
      <c r="AJ112" s="202"/>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81"/>
      <c r="E113" s="181"/>
      <c r="F113" s="181"/>
      <c r="G113" s="181"/>
      <c r="H113" s="181"/>
      <c r="I113" s="181"/>
      <c r="J113" s="181"/>
      <c r="K113" s="181"/>
      <c r="L113" s="181"/>
      <c r="M113" s="181"/>
      <c r="N113" s="100"/>
      <c r="O113" s="101"/>
      <c r="P113" s="101"/>
      <c r="Q113" s="102"/>
      <c r="R113" s="39"/>
      <c r="S113" s="39"/>
      <c r="T113" s="39"/>
      <c r="U113" s="118" t="str">
        <f>IF([3]回答表!F17="簡易水道事業",IF([3]回答表!X43="○",[3]回答表!Y181,IF([3]回答表!AA43="○",[3]回答表!Y229,"")),"")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81"/>
      <c r="E114" s="181"/>
      <c r="F114" s="181"/>
      <c r="G114" s="181"/>
      <c r="H114" s="181"/>
      <c r="I114" s="181"/>
      <c r="J114" s="181"/>
      <c r="K114" s="181"/>
      <c r="L114" s="181"/>
      <c r="M114" s="181"/>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IF([3]回答表!F17="簡易水道事業",IF([3]回答表!X43="○",[3]回答表!E190,IF([3]回答表!AA43="○",[3]回答表!E238,"")),"")</f>
        <v/>
      </c>
      <c r="BF114" s="83"/>
      <c r="BG114" s="83"/>
      <c r="BH114" s="83"/>
      <c r="BI114" s="82" t="str">
        <f>IF([3]回答表!F17="簡易水道事業",IF([3]回答表!X43="○",[3]回答表!E191,IF([3]回答表!AA43="○",[3]回答表!E239,"")),"")</f>
        <v/>
      </c>
      <c r="BJ114" s="83"/>
      <c r="BK114" s="83"/>
      <c r="BL114" s="83"/>
      <c r="BM114" s="82" t="str">
        <f>IF([3]回答表!F17="簡易水道事業",IF([3]回答表!X43="○",[3]回答表!E192,IF([3]回答表!AA43="○",[3]回答表!E240,"")),"")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88" t="s">
        <v>47</v>
      </c>
      <c r="V116" s="189"/>
      <c r="W116" s="189"/>
      <c r="X116" s="189"/>
      <c r="Y116" s="189"/>
      <c r="Z116" s="189"/>
      <c r="AA116" s="189"/>
      <c r="AB116" s="189"/>
      <c r="AC116" s="189"/>
      <c r="AD116" s="189"/>
      <c r="AE116" s="189"/>
      <c r="AF116" s="189"/>
      <c r="AG116" s="189"/>
      <c r="AH116" s="189"/>
      <c r="AI116" s="189"/>
      <c r="AJ116" s="198"/>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86" t="s">
        <v>26</v>
      </c>
      <c r="E117" s="181"/>
      <c r="F117" s="181"/>
      <c r="G117" s="181"/>
      <c r="H117" s="181"/>
      <c r="I117" s="181"/>
      <c r="J117" s="181"/>
      <c r="K117" s="181"/>
      <c r="L117" s="181"/>
      <c r="M117" s="182"/>
      <c r="N117" s="97" t="str">
        <f>IF([3]回答表!F17="簡易水道事業",IF([3]回答表!AA43="○","○",""),"")</f>
        <v/>
      </c>
      <c r="O117" s="98"/>
      <c r="P117" s="98"/>
      <c r="Q117" s="99"/>
      <c r="R117" s="39"/>
      <c r="S117" s="39"/>
      <c r="T117" s="39"/>
      <c r="U117" s="200"/>
      <c r="V117" s="201"/>
      <c r="W117" s="201"/>
      <c r="X117" s="201"/>
      <c r="Y117" s="201"/>
      <c r="Z117" s="201"/>
      <c r="AA117" s="201"/>
      <c r="AB117" s="201"/>
      <c r="AC117" s="201"/>
      <c r="AD117" s="201"/>
      <c r="AE117" s="201"/>
      <c r="AF117" s="201"/>
      <c r="AG117" s="201"/>
      <c r="AH117" s="201"/>
      <c r="AI117" s="201"/>
      <c r="AJ117" s="202"/>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81"/>
      <c r="E118" s="181"/>
      <c r="F118" s="181"/>
      <c r="G118" s="181"/>
      <c r="H118" s="181"/>
      <c r="I118" s="181"/>
      <c r="J118" s="181"/>
      <c r="K118" s="181"/>
      <c r="L118" s="181"/>
      <c r="M118" s="182"/>
      <c r="N118" s="100"/>
      <c r="O118" s="101"/>
      <c r="P118" s="101"/>
      <c r="Q118" s="102"/>
      <c r="R118" s="39"/>
      <c r="S118" s="39"/>
      <c r="T118" s="39"/>
      <c r="U118" s="118" t="str">
        <f>IF([3]回答表!F17="簡易水道事業",IF([3]回答表!X43="○",[3]回答表!Y182,IF([3]回答表!AA43="○",[3]回答表!Y230,"")),"")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81"/>
      <c r="E119" s="181"/>
      <c r="F119" s="181"/>
      <c r="G119" s="181"/>
      <c r="H119" s="181"/>
      <c r="I119" s="181"/>
      <c r="J119" s="181"/>
      <c r="K119" s="181"/>
      <c r="L119" s="181"/>
      <c r="M119" s="182"/>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81"/>
      <c r="E120" s="181"/>
      <c r="F120" s="181"/>
      <c r="G120" s="181"/>
      <c r="H120" s="181"/>
      <c r="I120" s="181"/>
      <c r="J120" s="181"/>
      <c r="K120" s="181"/>
      <c r="L120" s="181"/>
      <c r="M120" s="182"/>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81" t="s">
        <v>34</v>
      </c>
      <c r="E123" s="181"/>
      <c r="F123" s="181"/>
      <c r="G123" s="181"/>
      <c r="H123" s="181"/>
      <c r="I123" s="181"/>
      <c r="J123" s="181"/>
      <c r="K123" s="181"/>
      <c r="L123" s="181"/>
      <c r="M123" s="182"/>
      <c r="N123" s="97" t="str">
        <f>IF([3]回答表!F17="簡易水道事業",IF([3]回答表!AD43="○","○",""),"")</f>
        <v/>
      </c>
      <c r="O123" s="98"/>
      <c r="P123" s="98"/>
      <c r="Q123" s="99"/>
      <c r="R123" s="39"/>
      <c r="S123" s="39"/>
      <c r="T123" s="39"/>
      <c r="U123" s="106" t="str">
        <f>IF([3]回答表!F17="簡易水道事業",IF([3]回答表!AD43="○",[3]回答表!B249,""),"")</f>
        <v/>
      </c>
      <c r="V123" s="107"/>
      <c r="W123" s="107"/>
      <c r="X123" s="107"/>
      <c r="Y123" s="107"/>
      <c r="Z123" s="107"/>
      <c r="AA123" s="107"/>
      <c r="AB123" s="107"/>
      <c r="AC123" s="107"/>
      <c r="AD123" s="107"/>
      <c r="AE123" s="107"/>
      <c r="AF123" s="107"/>
      <c r="AG123" s="107"/>
      <c r="AH123" s="107"/>
      <c r="AI123" s="107"/>
      <c r="AJ123" s="108"/>
      <c r="AK123" s="56"/>
      <c r="AL123" s="56"/>
      <c r="AM123" s="106" t="str">
        <f>IF([3]回答表!F17="簡易水道事業",IF([3]回答表!AD43="○",[3]回答表!B255,""),"")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81"/>
      <c r="E124" s="181"/>
      <c r="F124" s="181"/>
      <c r="G124" s="181"/>
      <c r="H124" s="181"/>
      <c r="I124" s="181"/>
      <c r="J124" s="181"/>
      <c r="K124" s="181"/>
      <c r="L124" s="181"/>
      <c r="M124" s="182"/>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81"/>
      <c r="E125" s="181"/>
      <c r="F125" s="181"/>
      <c r="G125" s="181"/>
      <c r="H125" s="181"/>
      <c r="I125" s="181"/>
      <c r="J125" s="181"/>
      <c r="K125" s="181"/>
      <c r="L125" s="181"/>
      <c r="M125" s="182"/>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81"/>
      <c r="E126" s="181"/>
      <c r="F126" s="181"/>
      <c r="G126" s="181"/>
      <c r="H126" s="181"/>
      <c r="I126" s="181"/>
      <c r="J126" s="181"/>
      <c r="K126" s="181"/>
      <c r="L126" s="181"/>
      <c r="M126" s="182"/>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62"/>
      <c r="AS129" s="162"/>
      <c r="AT129" s="162"/>
      <c r="AU129" s="162"/>
      <c r="AV129" s="162"/>
      <c r="AW129" s="162"/>
      <c r="AX129" s="162"/>
      <c r="AY129" s="162"/>
      <c r="AZ129" s="162"/>
      <c r="BA129" s="162"/>
      <c r="BB129" s="162"/>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87"/>
      <c r="AS130" s="187"/>
      <c r="AT130" s="187"/>
      <c r="AU130" s="187"/>
      <c r="AV130" s="187"/>
      <c r="AW130" s="187"/>
      <c r="AX130" s="187"/>
      <c r="AY130" s="187"/>
      <c r="AZ130" s="187"/>
      <c r="BA130" s="187"/>
      <c r="BB130" s="187"/>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81" t="s">
        <v>18</v>
      </c>
      <c r="E135" s="181"/>
      <c r="F135" s="181"/>
      <c r="G135" s="181"/>
      <c r="H135" s="181"/>
      <c r="I135" s="181"/>
      <c r="J135" s="181"/>
      <c r="K135" s="181"/>
      <c r="L135" s="181"/>
      <c r="M135" s="181"/>
      <c r="N135" s="97" t="str">
        <f>IF([3]回答表!F17="下水道事業",IF([3]回答表!X43="○","○",""),"")</f>
        <v/>
      </c>
      <c r="O135" s="98"/>
      <c r="P135" s="98"/>
      <c r="Q135" s="99"/>
      <c r="R135" s="39"/>
      <c r="S135" s="39"/>
      <c r="T135" s="39"/>
      <c r="U135" s="188" t="s">
        <v>49</v>
      </c>
      <c r="V135" s="189"/>
      <c r="W135" s="189"/>
      <c r="X135" s="189"/>
      <c r="Y135" s="189"/>
      <c r="Z135" s="189"/>
      <c r="AA135" s="189"/>
      <c r="AB135" s="189"/>
      <c r="AC135" s="188" t="s">
        <v>50</v>
      </c>
      <c r="AD135" s="189"/>
      <c r="AE135" s="189"/>
      <c r="AF135" s="189"/>
      <c r="AG135" s="189"/>
      <c r="AH135" s="189"/>
      <c r="AI135" s="189"/>
      <c r="AJ135" s="198"/>
      <c r="AK135" s="50"/>
      <c r="AL135" s="50"/>
      <c r="AM135" s="106" t="str">
        <f>IF([3]回答表!F17="下水道事業",IF([3]回答表!X43="○",[3]回答表!B154,IF([3]回答表!AA43="○",[3]回答表!B201,"")),"")</f>
        <v/>
      </c>
      <c r="AN135" s="107"/>
      <c r="AO135" s="107"/>
      <c r="AP135" s="107"/>
      <c r="AQ135" s="107"/>
      <c r="AR135" s="107"/>
      <c r="AS135" s="107"/>
      <c r="AT135" s="107"/>
      <c r="AU135" s="107"/>
      <c r="AV135" s="107"/>
      <c r="AW135" s="107"/>
      <c r="AX135" s="107"/>
      <c r="AY135" s="107"/>
      <c r="AZ135" s="107"/>
      <c r="BA135" s="107"/>
      <c r="BB135" s="108"/>
      <c r="BC135" s="40"/>
      <c r="BD135" s="35"/>
      <c r="BE135" s="115" t="str">
        <f>IF([3]回答表!F17="下水道事業",IF([3]回答表!X43="○",[3]回答表!B190,IF([3]回答表!AA43="○",[3]回答表!B238,"")),"")</f>
        <v/>
      </c>
      <c r="BF135" s="116"/>
      <c r="BG135" s="116"/>
      <c r="BH135" s="116"/>
      <c r="BI135" s="115"/>
      <c r="BJ135" s="116"/>
      <c r="BK135" s="116"/>
      <c r="BL135" s="116"/>
      <c r="BM135" s="115"/>
      <c r="BN135" s="116"/>
      <c r="BO135" s="116"/>
      <c r="BP135" s="117"/>
      <c r="BQ135" s="38"/>
    </row>
    <row r="136" spans="3:69" ht="19.350000000000001" customHeight="1" x14ac:dyDescent="0.4">
      <c r="C136" s="33"/>
      <c r="D136" s="181"/>
      <c r="E136" s="181"/>
      <c r="F136" s="181"/>
      <c r="G136" s="181"/>
      <c r="H136" s="181"/>
      <c r="I136" s="181"/>
      <c r="J136" s="181"/>
      <c r="K136" s="181"/>
      <c r="L136" s="181"/>
      <c r="M136" s="181"/>
      <c r="N136" s="100"/>
      <c r="O136" s="101"/>
      <c r="P136" s="101"/>
      <c r="Q136" s="102"/>
      <c r="R136" s="39"/>
      <c r="S136" s="39"/>
      <c r="T136" s="39"/>
      <c r="U136" s="190"/>
      <c r="V136" s="191"/>
      <c r="W136" s="191"/>
      <c r="X136" s="191"/>
      <c r="Y136" s="191"/>
      <c r="Z136" s="191"/>
      <c r="AA136" s="191"/>
      <c r="AB136" s="191"/>
      <c r="AC136" s="190"/>
      <c r="AD136" s="191"/>
      <c r="AE136" s="191"/>
      <c r="AF136" s="191"/>
      <c r="AG136" s="191"/>
      <c r="AH136" s="191"/>
      <c r="AI136" s="191"/>
      <c r="AJ136" s="199"/>
      <c r="AK136" s="50"/>
      <c r="AL136" s="50"/>
      <c r="AM136" s="109"/>
      <c r="AN136" s="110"/>
      <c r="AO136" s="110"/>
      <c r="AP136" s="110"/>
      <c r="AQ136" s="110"/>
      <c r="AR136" s="110"/>
      <c r="AS136" s="110"/>
      <c r="AT136" s="110"/>
      <c r="AU136" s="110"/>
      <c r="AV136" s="110"/>
      <c r="AW136" s="110"/>
      <c r="AX136" s="110"/>
      <c r="AY136" s="110"/>
      <c r="AZ136" s="110"/>
      <c r="BA136" s="110"/>
      <c r="BB136" s="111"/>
      <c r="BC136" s="40"/>
      <c r="BD136" s="35"/>
      <c r="BE136" s="82"/>
      <c r="BF136" s="83"/>
      <c r="BG136" s="83"/>
      <c r="BH136" s="83"/>
      <c r="BI136" s="82"/>
      <c r="BJ136" s="83"/>
      <c r="BK136" s="83"/>
      <c r="BL136" s="83"/>
      <c r="BM136" s="82"/>
      <c r="BN136" s="83"/>
      <c r="BO136" s="83"/>
      <c r="BP136" s="86"/>
      <c r="BQ136" s="38"/>
    </row>
    <row r="137" spans="3:69" ht="15.6" customHeight="1" x14ac:dyDescent="0.4">
      <c r="C137" s="33"/>
      <c r="D137" s="181"/>
      <c r="E137" s="181"/>
      <c r="F137" s="181"/>
      <c r="G137" s="181"/>
      <c r="H137" s="181"/>
      <c r="I137" s="181"/>
      <c r="J137" s="181"/>
      <c r="K137" s="181"/>
      <c r="L137" s="181"/>
      <c r="M137" s="181"/>
      <c r="N137" s="100"/>
      <c r="O137" s="101"/>
      <c r="P137" s="101"/>
      <c r="Q137" s="102"/>
      <c r="R137" s="39"/>
      <c r="S137" s="39"/>
      <c r="T137" s="39"/>
      <c r="U137" s="118" t="str">
        <f>IF([3]回答表!F17="下水道事業",IF([3]回答表!X43="○",[3]回答表!Y184,IF([3]回答表!AA43="○",[3]回答表!Y232,"")),"")</f>
        <v/>
      </c>
      <c r="V137" s="119"/>
      <c r="W137" s="119"/>
      <c r="X137" s="119"/>
      <c r="Y137" s="119"/>
      <c r="Z137" s="119"/>
      <c r="AA137" s="119"/>
      <c r="AB137" s="120"/>
      <c r="AC137" s="118" t="str">
        <f>IF([3]回答表!F17="下水道事業",IF([3]回答表!X43="○",[3]回答表!Y185,IF([3]回答表!AA43="○",[3]回答表!Y233,"")),"")</f>
        <v/>
      </c>
      <c r="AD137" s="119"/>
      <c r="AE137" s="119"/>
      <c r="AF137" s="119"/>
      <c r="AG137" s="119"/>
      <c r="AH137" s="119"/>
      <c r="AI137" s="119"/>
      <c r="AJ137" s="120"/>
      <c r="AK137" s="50"/>
      <c r="AL137" s="50"/>
      <c r="AM137" s="109"/>
      <c r="AN137" s="110"/>
      <c r="AO137" s="110"/>
      <c r="AP137" s="110"/>
      <c r="AQ137" s="110"/>
      <c r="AR137" s="110"/>
      <c r="AS137" s="110"/>
      <c r="AT137" s="110"/>
      <c r="AU137" s="110"/>
      <c r="AV137" s="110"/>
      <c r="AW137" s="110"/>
      <c r="AX137" s="110"/>
      <c r="AY137" s="110"/>
      <c r="AZ137" s="110"/>
      <c r="BA137" s="110"/>
      <c r="BB137" s="111"/>
      <c r="BC137" s="40"/>
      <c r="BD137" s="35"/>
      <c r="BE137" s="82"/>
      <c r="BF137" s="83"/>
      <c r="BG137" s="83"/>
      <c r="BH137" s="83"/>
      <c r="BI137" s="82"/>
      <c r="BJ137" s="83"/>
      <c r="BK137" s="83"/>
      <c r="BL137" s="83"/>
      <c r="BM137" s="82"/>
      <c r="BN137" s="83"/>
      <c r="BO137" s="83"/>
      <c r="BP137" s="86"/>
      <c r="BQ137" s="38"/>
    </row>
    <row r="138" spans="3:69" ht="15.6" customHeight="1" x14ac:dyDescent="0.4">
      <c r="C138" s="33"/>
      <c r="D138" s="181"/>
      <c r="E138" s="181"/>
      <c r="F138" s="181"/>
      <c r="G138" s="181"/>
      <c r="H138" s="181"/>
      <c r="I138" s="181"/>
      <c r="J138" s="181"/>
      <c r="K138" s="181"/>
      <c r="L138" s="181"/>
      <c r="M138" s="181"/>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109"/>
      <c r="AN138" s="110"/>
      <c r="AO138" s="110"/>
      <c r="AP138" s="110"/>
      <c r="AQ138" s="110"/>
      <c r="AR138" s="110"/>
      <c r="AS138" s="110"/>
      <c r="AT138" s="110"/>
      <c r="AU138" s="110"/>
      <c r="AV138" s="110"/>
      <c r="AW138" s="110"/>
      <c r="AX138" s="110"/>
      <c r="AY138" s="110"/>
      <c r="AZ138" s="110"/>
      <c r="BA138" s="110"/>
      <c r="BB138" s="111"/>
      <c r="BC138" s="40"/>
      <c r="BD138" s="35"/>
      <c r="BE138" s="82" t="str">
        <f>IF([3]回答表!F17="下水道事業",IF([3]回答表!X43="○",[3]回答表!E190,IF([3]回答表!AA43="○",[3]回答表!E238,"")),"")</f>
        <v/>
      </c>
      <c r="BF138" s="83"/>
      <c r="BG138" s="83"/>
      <c r="BH138" s="83"/>
      <c r="BI138" s="82" t="str">
        <f>IF([3]回答表!F17="下水道事業",IF([3]回答表!X43="○",[3]回答表!E191,IF([3]回答表!AA43="○",[3]回答表!E239,"")),"")</f>
        <v/>
      </c>
      <c r="BJ138" s="83"/>
      <c r="BK138" s="83"/>
      <c r="BL138" s="83"/>
      <c r="BM138" s="82" t="str">
        <f>IF([3]回答表!F17="下水道事業",IF([3]回答表!X43="○",[3]回答表!E192,IF([3]回答表!AA43="○",[3]回答表!E240,"")),"")</f>
        <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109"/>
      <c r="AN139" s="110"/>
      <c r="AO139" s="110"/>
      <c r="AP139" s="110"/>
      <c r="AQ139" s="110"/>
      <c r="AR139" s="110"/>
      <c r="AS139" s="110"/>
      <c r="AT139" s="110"/>
      <c r="AU139" s="110"/>
      <c r="AV139" s="110"/>
      <c r="AW139" s="110"/>
      <c r="AX139" s="110"/>
      <c r="AY139" s="110"/>
      <c r="AZ139" s="110"/>
      <c r="BA139" s="110"/>
      <c r="BB139" s="111"/>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88" t="s">
        <v>51</v>
      </c>
      <c r="V140" s="189"/>
      <c r="W140" s="189"/>
      <c r="X140" s="189"/>
      <c r="Y140" s="189"/>
      <c r="Z140" s="189"/>
      <c r="AA140" s="189"/>
      <c r="AB140" s="189"/>
      <c r="AC140" s="192" t="s">
        <v>52</v>
      </c>
      <c r="AD140" s="193"/>
      <c r="AE140" s="193"/>
      <c r="AF140" s="193"/>
      <c r="AG140" s="193"/>
      <c r="AH140" s="193"/>
      <c r="AI140" s="193"/>
      <c r="AJ140" s="194"/>
      <c r="AK140" s="50"/>
      <c r="AL140" s="50"/>
      <c r="AM140" s="109"/>
      <c r="AN140" s="110"/>
      <c r="AO140" s="110"/>
      <c r="AP140" s="110"/>
      <c r="AQ140" s="110"/>
      <c r="AR140" s="110"/>
      <c r="AS140" s="110"/>
      <c r="AT140" s="110"/>
      <c r="AU140" s="110"/>
      <c r="AV140" s="110"/>
      <c r="AW140" s="110"/>
      <c r="AX140" s="110"/>
      <c r="AY140" s="110"/>
      <c r="AZ140" s="110"/>
      <c r="BA140" s="110"/>
      <c r="BB140" s="111"/>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86" t="s">
        <v>26</v>
      </c>
      <c r="E141" s="181"/>
      <c r="F141" s="181"/>
      <c r="G141" s="181"/>
      <c r="H141" s="181"/>
      <c r="I141" s="181"/>
      <c r="J141" s="181"/>
      <c r="K141" s="181"/>
      <c r="L141" s="181"/>
      <c r="M141" s="182"/>
      <c r="N141" s="97" t="str">
        <f>IF([3]回答表!F17="下水道事業",IF([3]回答表!AA43="○","○",""),"")</f>
        <v/>
      </c>
      <c r="O141" s="98"/>
      <c r="P141" s="98"/>
      <c r="Q141" s="99"/>
      <c r="R141" s="39"/>
      <c r="S141" s="39"/>
      <c r="T141" s="39"/>
      <c r="U141" s="190"/>
      <c r="V141" s="191"/>
      <c r="W141" s="191"/>
      <c r="X141" s="191"/>
      <c r="Y141" s="191"/>
      <c r="Z141" s="191"/>
      <c r="AA141" s="191"/>
      <c r="AB141" s="191"/>
      <c r="AC141" s="195"/>
      <c r="AD141" s="196"/>
      <c r="AE141" s="196"/>
      <c r="AF141" s="196"/>
      <c r="AG141" s="196"/>
      <c r="AH141" s="196"/>
      <c r="AI141" s="196"/>
      <c r="AJ141" s="197"/>
      <c r="AK141" s="50"/>
      <c r="AL141" s="50"/>
      <c r="AM141" s="109"/>
      <c r="AN141" s="110"/>
      <c r="AO141" s="110"/>
      <c r="AP141" s="110"/>
      <c r="AQ141" s="110"/>
      <c r="AR141" s="110"/>
      <c r="AS141" s="110"/>
      <c r="AT141" s="110"/>
      <c r="AU141" s="110"/>
      <c r="AV141" s="110"/>
      <c r="AW141" s="110"/>
      <c r="AX141" s="110"/>
      <c r="AY141" s="110"/>
      <c r="AZ141" s="110"/>
      <c r="BA141" s="110"/>
      <c r="BB141" s="111"/>
      <c r="BC141" s="40"/>
      <c r="BD141" s="54"/>
      <c r="BE141" s="82"/>
      <c r="BF141" s="83"/>
      <c r="BG141" s="83"/>
      <c r="BH141" s="83"/>
      <c r="BI141" s="82"/>
      <c r="BJ141" s="83"/>
      <c r="BK141" s="83"/>
      <c r="BL141" s="83"/>
      <c r="BM141" s="82"/>
      <c r="BN141" s="83"/>
      <c r="BO141" s="83"/>
      <c r="BP141" s="86"/>
      <c r="BQ141" s="38"/>
    </row>
    <row r="142" spans="3:69" ht="15.6" customHeight="1" x14ac:dyDescent="0.4">
      <c r="C142" s="33"/>
      <c r="D142" s="181"/>
      <c r="E142" s="181"/>
      <c r="F142" s="181"/>
      <c r="G142" s="181"/>
      <c r="H142" s="181"/>
      <c r="I142" s="181"/>
      <c r="J142" s="181"/>
      <c r="K142" s="181"/>
      <c r="L142" s="181"/>
      <c r="M142" s="182"/>
      <c r="N142" s="100"/>
      <c r="O142" s="101"/>
      <c r="P142" s="101"/>
      <c r="Q142" s="102"/>
      <c r="R142" s="39"/>
      <c r="S142" s="39"/>
      <c r="T142" s="39"/>
      <c r="U142" s="118" t="str">
        <f>IF([3]回答表!F17="下水道事業",IF([3]回答表!X43="○",[3]回答表!Y186,IF([3]回答表!AA43="○",[3]回答表!Y234,"")),"")</f>
        <v/>
      </c>
      <c r="V142" s="119"/>
      <c r="W142" s="119"/>
      <c r="X142" s="119"/>
      <c r="Y142" s="119"/>
      <c r="Z142" s="119"/>
      <c r="AA142" s="119"/>
      <c r="AB142" s="120"/>
      <c r="AC142" s="118" t="str">
        <f>IF([3]回答表!F17="下水道事業",IF([3]回答表!X43="○",[3]回答表!Y187,IF([3]回答表!AA43="○",[3]回答表!Y235,"")),"")</f>
        <v/>
      </c>
      <c r="AD142" s="119"/>
      <c r="AE142" s="119"/>
      <c r="AF142" s="119"/>
      <c r="AG142" s="119"/>
      <c r="AH142" s="119"/>
      <c r="AI142" s="119"/>
      <c r="AJ142" s="120"/>
      <c r="AK142" s="50"/>
      <c r="AL142" s="50"/>
      <c r="AM142" s="109"/>
      <c r="AN142" s="110"/>
      <c r="AO142" s="110"/>
      <c r="AP142" s="110"/>
      <c r="AQ142" s="110"/>
      <c r="AR142" s="110"/>
      <c r="AS142" s="110"/>
      <c r="AT142" s="110"/>
      <c r="AU142" s="110"/>
      <c r="AV142" s="110"/>
      <c r="AW142" s="110"/>
      <c r="AX142" s="110"/>
      <c r="AY142" s="110"/>
      <c r="AZ142" s="110"/>
      <c r="BA142" s="110"/>
      <c r="BB142" s="111"/>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81"/>
      <c r="E143" s="181"/>
      <c r="F143" s="181"/>
      <c r="G143" s="181"/>
      <c r="H143" s="181"/>
      <c r="I143" s="181"/>
      <c r="J143" s="181"/>
      <c r="K143" s="181"/>
      <c r="L143" s="181"/>
      <c r="M143" s="182"/>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109"/>
      <c r="AN143" s="110"/>
      <c r="AO143" s="110"/>
      <c r="AP143" s="110"/>
      <c r="AQ143" s="110"/>
      <c r="AR143" s="110"/>
      <c r="AS143" s="110"/>
      <c r="AT143" s="110"/>
      <c r="AU143" s="110"/>
      <c r="AV143" s="110"/>
      <c r="AW143" s="110"/>
      <c r="AX143" s="110"/>
      <c r="AY143" s="110"/>
      <c r="AZ143" s="110"/>
      <c r="BA143" s="110"/>
      <c r="BB143" s="111"/>
      <c r="BC143" s="40"/>
      <c r="BD143" s="54"/>
      <c r="BE143" s="82"/>
      <c r="BF143" s="83"/>
      <c r="BG143" s="83"/>
      <c r="BH143" s="83"/>
      <c r="BI143" s="82"/>
      <c r="BJ143" s="83"/>
      <c r="BK143" s="83"/>
      <c r="BL143" s="83"/>
      <c r="BM143" s="82"/>
      <c r="BN143" s="83"/>
      <c r="BO143" s="83"/>
      <c r="BP143" s="86"/>
      <c r="BQ143" s="38"/>
    </row>
    <row r="144" spans="3:69" ht="15.6" customHeight="1" x14ac:dyDescent="0.4">
      <c r="C144" s="33"/>
      <c r="D144" s="181"/>
      <c r="E144" s="181"/>
      <c r="F144" s="181"/>
      <c r="G144" s="181"/>
      <c r="H144" s="181"/>
      <c r="I144" s="181"/>
      <c r="J144" s="181"/>
      <c r="K144" s="181"/>
      <c r="L144" s="181"/>
      <c r="M144" s="182"/>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112"/>
      <c r="AN144" s="113"/>
      <c r="AO144" s="113"/>
      <c r="AP144" s="113"/>
      <c r="AQ144" s="113"/>
      <c r="AR144" s="113"/>
      <c r="AS144" s="113"/>
      <c r="AT144" s="113"/>
      <c r="AU144" s="113"/>
      <c r="AV144" s="113"/>
      <c r="AW144" s="113"/>
      <c r="AX144" s="113"/>
      <c r="AY144" s="113"/>
      <c r="AZ144" s="113"/>
      <c r="BA144" s="113"/>
      <c r="BB144" s="114"/>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81" t="s">
        <v>34</v>
      </c>
      <c r="E147" s="181"/>
      <c r="F147" s="181"/>
      <c r="G147" s="181"/>
      <c r="H147" s="181"/>
      <c r="I147" s="181"/>
      <c r="J147" s="181"/>
      <c r="K147" s="181"/>
      <c r="L147" s="181"/>
      <c r="M147" s="182"/>
      <c r="N147" s="97" t="str">
        <f>IF([3]回答表!F17="下水道事業",IF([3]回答表!AD43="○","○",""),"")</f>
        <v/>
      </c>
      <c r="O147" s="98"/>
      <c r="P147" s="98"/>
      <c r="Q147" s="99"/>
      <c r="R147" s="39"/>
      <c r="S147" s="39"/>
      <c r="T147" s="39"/>
      <c r="U147" s="106" t="str">
        <f>IF([3]回答表!F17="下水道事業",IF([3]回答表!AD43="○",[3]回答表!B249,""),"")</f>
        <v/>
      </c>
      <c r="V147" s="107"/>
      <c r="W147" s="107"/>
      <c r="X147" s="107"/>
      <c r="Y147" s="107"/>
      <c r="Z147" s="107"/>
      <c r="AA147" s="107"/>
      <c r="AB147" s="107"/>
      <c r="AC147" s="107"/>
      <c r="AD147" s="107"/>
      <c r="AE147" s="107"/>
      <c r="AF147" s="107"/>
      <c r="AG147" s="107"/>
      <c r="AH147" s="107"/>
      <c r="AI147" s="107"/>
      <c r="AJ147" s="108"/>
      <c r="AK147" s="56"/>
      <c r="AL147" s="56"/>
      <c r="AM147" s="106" t="str">
        <f>IF([3]回答表!F17="下水道事業",IF([3]回答表!AD43="○",[3]回答表!B255,""),"")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81"/>
      <c r="E148" s="181"/>
      <c r="F148" s="181"/>
      <c r="G148" s="181"/>
      <c r="H148" s="181"/>
      <c r="I148" s="181"/>
      <c r="J148" s="181"/>
      <c r="K148" s="181"/>
      <c r="L148" s="181"/>
      <c r="M148" s="182"/>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81"/>
      <c r="E149" s="181"/>
      <c r="F149" s="181"/>
      <c r="G149" s="181"/>
      <c r="H149" s="181"/>
      <c r="I149" s="181"/>
      <c r="J149" s="181"/>
      <c r="K149" s="181"/>
      <c r="L149" s="181"/>
      <c r="M149" s="182"/>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81"/>
      <c r="E150" s="181"/>
      <c r="F150" s="181"/>
      <c r="G150" s="181"/>
      <c r="H150" s="181"/>
      <c r="I150" s="181"/>
      <c r="J150" s="181"/>
      <c r="K150" s="181"/>
      <c r="L150" s="181"/>
      <c r="M150" s="182"/>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62"/>
      <c r="AS153" s="162"/>
      <c r="AT153" s="162"/>
      <c r="AU153" s="162"/>
      <c r="AV153" s="162"/>
      <c r="AW153" s="162"/>
      <c r="AX153" s="162"/>
      <c r="AY153" s="162"/>
      <c r="AZ153" s="162"/>
      <c r="BA153" s="162"/>
      <c r="BB153" s="162"/>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87"/>
      <c r="AS154" s="187"/>
      <c r="AT154" s="187"/>
      <c r="AU154" s="187"/>
      <c r="AV154" s="187"/>
      <c r="AW154" s="187"/>
      <c r="AX154" s="187"/>
      <c r="AY154" s="187"/>
      <c r="AZ154" s="187"/>
      <c r="BA154" s="187"/>
      <c r="BB154" s="187"/>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81" t="s">
        <v>18</v>
      </c>
      <c r="E159" s="181"/>
      <c r="F159" s="181"/>
      <c r="G159" s="181"/>
      <c r="H159" s="181"/>
      <c r="I159" s="181"/>
      <c r="J159" s="181"/>
      <c r="K159" s="181"/>
      <c r="L159" s="181"/>
      <c r="M159" s="181"/>
      <c r="N159" s="97" t="str">
        <f>IF([3]回答表!BD17="○",IF([3]回答表!X43="○","○",""),"")</f>
        <v/>
      </c>
      <c r="O159" s="98"/>
      <c r="P159" s="98"/>
      <c r="Q159" s="99"/>
      <c r="R159" s="39"/>
      <c r="S159" s="39"/>
      <c r="T159" s="39"/>
      <c r="U159" s="106" t="str">
        <f>IF([3]回答表!BD17="○",IF([3]回答表!X43="○",[3]回答表!B154,IF([3]回答表!AA43="○",[3]回答表!B201,"")),"")</f>
        <v/>
      </c>
      <c r="V159" s="107"/>
      <c r="W159" s="107"/>
      <c r="X159" s="107"/>
      <c r="Y159" s="107"/>
      <c r="Z159" s="107"/>
      <c r="AA159" s="107"/>
      <c r="AB159" s="107"/>
      <c r="AC159" s="107"/>
      <c r="AD159" s="107"/>
      <c r="AE159" s="107"/>
      <c r="AF159" s="107"/>
      <c r="AG159" s="107"/>
      <c r="AH159" s="107"/>
      <c r="AI159" s="107"/>
      <c r="AJ159" s="108"/>
      <c r="AK159" s="50"/>
      <c r="AL159" s="50"/>
      <c r="AM159" s="115" t="str">
        <f>IF([3]回答表!BD17="○",IF([3]回答表!X43="○",[3]回答表!B190,IF([3]回答表!AA43="○",[3]回答表!B238,"")),"")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81"/>
      <c r="E160" s="181"/>
      <c r="F160" s="181"/>
      <c r="G160" s="181"/>
      <c r="H160" s="181"/>
      <c r="I160" s="181"/>
      <c r="J160" s="181"/>
      <c r="K160" s="181"/>
      <c r="L160" s="181"/>
      <c r="M160" s="181"/>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81"/>
      <c r="E161" s="181"/>
      <c r="F161" s="181"/>
      <c r="G161" s="181"/>
      <c r="H161" s="181"/>
      <c r="I161" s="181"/>
      <c r="J161" s="181"/>
      <c r="K161" s="181"/>
      <c r="L161" s="181"/>
      <c r="M161" s="181"/>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81"/>
      <c r="E162" s="181"/>
      <c r="F162" s="181"/>
      <c r="G162" s="181"/>
      <c r="H162" s="181"/>
      <c r="I162" s="181"/>
      <c r="J162" s="181"/>
      <c r="K162" s="181"/>
      <c r="L162" s="181"/>
      <c r="M162" s="181"/>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IF([3]回答表!BD17="○",IF([3]回答表!X43="○",[3]回答表!E190,IF([3]回答表!AA43="○",[3]回答表!E238,"")),"")</f>
        <v/>
      </c>
      <c r="AN162" s="83"/>
      <c r="AO162" s="83"/>
      <c r="AP162" s="83"/>
      <c r="AQ162" s="82" t="str">
        <f>IF([3]回答表!BD17="○",IF([3]回答表!X43="○",[3]回答表!E191,IF([3]回答表!AA43="○",[3]回答表!E239,"")),"")</f>
        <v/>
      </c>
      <c r="AR162" s="83"/>
      <c r="AS162" s="83"/>
      <c r="AT162" s="83"/>
      <c r="AU162" s="82" t="str">
        <f>IF([3]回答表!BD17="○",IF([3]回答表!X43="○",[3]回答表!E192,IF([3]回答表!AA43="○",[3]回答表!E240,"")),"")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86" t="s">
        <v>26</v>
      </c>
      <c r="E165" s="181"/>
      <c r="F165" s="181"/>
      <c r="G165" s="181"/>
      <c r="H165" s="181"/>
      <c r="I165" s="181"/>
      <c r="J165" s="181"/>
      <c r="K165" s="181"/>
      <c r="L165" s="181"/>
      <c r="M165" s="182"/>
      <c r="N165" s="97" t="str">
        <f>IF([3]回答表!BD17="○",IF([3]回答表!AA43="○","○",""),"")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81"/>
      <c r="E166" s="181"/>
      <c r="F166" s="181"/>
      <c r="G166" s="181"/>
      <c r="H166" s="181"/>
      <c r="I166" s="181"/>
      <c r="J166" s="181"/>
      <c r="K166" s="181"/>
      <c r="L166" s="181"/>
      <c r="M166" s="182"/>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81"/>
      <c r="E167" s="181"/>
      <c r="F167" s="181"/>
      <c r="G167" s="181"/>
      <c r="H167" s="181"/>
      <c r="I167" s="181"/>
      <c r="J167" s="181"/>
      <c r="K167" s="181"/>
      <c r="L167" s="181"/>
      <c r="M167" s="182"/>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81"/>
      <c r="E168" s="181"/>
      <c r="F168" s="181"/>
      <c r="G168" s="181"/>
      <c r="H168" s="181"/>
      <c r="I168" s="181"/>
      <c r="J168" s="181"/>
      <c r="K168" s="181"/>
      <c r="L168" s="181"/>
      <c r="M168" s="182"/>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81" t="s">
        <v>34</v>
      </c>
      <c r="E171" s="181"/>
      <c r="F171" s="181"/>
      <c r="G171" s="181"/>
      <c r="H171" s="181"/>
      <c r="I171" s="181"/>
      <c r="J171" s="181"/>
      <c r="K171" s="181"/>
      <c r="L171" s="181"/>
      <c r="M171" s="182"/>
      <c r="N171" s="97" t="str">
        <f>IF([3]回答表!BD17="○",IF([3]回答表!AD43="○","○",""),"")</f>
        <v/>
      </c>
      <c r="O171" s="98"/>
      <c r="P171" s="98"/>
      <c r="Q171" s="99"/>
      <c r="R171" s="39"/>
      <c r="S171" s="39"/>
      <c r="T171" s="39"/>
      <c r="U171" s="106" t="str">
        <f>IF([3]回答表!BD17="○",IF([3]回答表!AD43="○",[3]回答表!B249,""),"")</f>
        <v/>
      </c>
      <c r="V171" s="107"/>
      <c r="W171" s="107"/>
      <c r="X171" s="107"/>
      <c r="Y171" s="107"/>
      <c r="Z171" s="107"/>
      <c r="AA171" s="107"/>
      <c r="AB171" s="107"/>
      <c r="AC171" s="107"/>
      <c r="AD171" s="107"/>
      <c r="AE171" s="107"/>
      <c r="AF171" s="107"/>
      <c r="AG171" s="107"/>
      <c r="AH171" s="107"/>
      <c r="AI171" s="107"/>
      <c r="AJ171" s="108"/>
      <c r="AK171" s="56"/>
      <c r="AL171" s="56"/>
      <c r="AM171" s="106" t="str">
        <f>IF([3]回答表!BD17="○",IF([3]回答表!AD43="○",[3]回答表!B255,""),"")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81"/>
      <c r="E172" s="181"/>
      <c r="F172" s="181"/>
      <c r="G172" s="181"/>
      <c r="H172" s="181"/>
      <c r="I172" s="181"/>
      <c r="J172" s="181"/>
      <c r="K172" s="181"/>
      <c r="L172" s="181"/>
      <c r="M172" s="182"/>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81"/>
      <c r="E173" s="181"/>
      <c r="F173" s="181"/>
      <c r="G173" s="181"/>
      <c r="H173" s="181"/>
      <c r="I173" s="181"/>
      <c r="J173" s="181"/>
      <c r="K173" s="181"/>
      <c r="L173" s="181"/>
      <c r="M173" s="182"/>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81"/>
      <c r="E174" s="181"/>
      <c r="F174" s="181"/>
      <c r="G174" s="181"/>
      <c r="H174" s="181"/>
      <c r="I174" s="181"/>
      <c r="J174" s="181"/>
      <c r="K174" s="181"/>
      <c r="L174" s="181"/>
      <c r="M174" s="182"/>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62"/>
      <c r="AS177" s="162"/>
      <c r="AT177" s="162"/>
      <c r="AU177" s="162"/>
      <c r="AV177" s="162"/>
      <c r="AW177" s="162"/>
      <c r="AX177" s="162"/>
      <c r="AY177" s="162"/>
      <c r="AZ177" s="162"/>
      <c r="BA177" s="162"/>
      <c r="BB177" s="162"/>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87"/>
      <c r="AS178" s="187"/>
      <c r="AT178" s="187"/>
      <c r="AU178" s="187"/>
      <c r="AV178" s="187"/>
      <c r="AW178" s="187"/>
      <c r="AX178" s="187"/>
      <c r="AY178" s="187"/>
      <c r="AZ178" s="187"/>
      <c r="BA178" s="187"/>
      <c r="BB178" s="187"/>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81" t="s">
        <v>18</v>
      </c>
      <c r="E183" s="181"/>
      <c r="F183" s="181"/>
      <c r="G183" s="181"/>
      <c r="H183" s="181"/>
      <c r="I183" s="181"/>
      <c r="J183" s="181"/>
      <c r="K183" s="181"/>
      <c r="L183" s="181"/>
      <c r="M183" s="181"/>
      <c r="N183" s="97" t="str">
        <f>IF([3]回答表!X44="○","○","")</f>
        <v/>
      </c>
      <c r="O183" s="98"/>
      <c r="P183" s="98"/>
      <c r="Q183" s="99"/>
      <c r="R183" s="39"/>
      <c r="S183" s="39"/>
      <c r="T183" s="39"/>
      <c r="U183" s="106" t="str">
        <f>IF([3]回答表!X44="○",[3]回答表!B266,IF([3]回答表!AA44="○",[3]回答表!B283,""))</f>
        <v/>
      </c>
      <c r="V183" s="107"/>
      <c r="W183" s="107"/>
      <c r="X183" s="107"/>
      <c r="Y183" s="107"/>
      <c r="Z183" s="107"/>
      <c r="AA183" s="107"/>
      <c r="AB183" s="107"/>
      <c r="AC183" s="107"/>
      <c r="AD183" s="107"/>
      <c r="AE183" s="107"/>
      <c r="AF183" s="107"/>
      <c r="AG183" s="107"/>
      <c r="AH183" s="107"/>
      <c r="AI183" s="107"/>
      <c r="AJ183" s="108"/>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IF([3]回答表!X44="○",[3]回答表!U272,IF([3]回答表!AA44="○",[3]回答表!U289,""))</f>
        <v/>
      </c>
      <c r="BF183" s="116"/>
      <c r="BG183" s="116"/>
      <c r="BH183" s="116"/>
      <c r="BI183" s="115"/>
      <c r="BJ183" s="116"/>
      <c r="BK183" s="116"/>
      <c r="BL183" s="116"/>
      <c r="BM183" s="115"/>
      <c r="BN183" s="116"/>
      <c r="BO183" s="116"/>
      <c r="BP183" s="117"/>
      <c r="BQ183" s="38"/>
      <c r="BR183" s="25"/>
    </row>
    <row r="184" spans="3:70" ht="15.6" customHeight="1" x14ac:dyDescent="0.4">
      <c r="C184" s="33"/>
      <c r="D184" s="181"/>
      <c r="E184" s="181"/>
      <c r="F184" s="181"/>
      <c r="G184" s="181"/>
      <c r="H184" s="181"/>
      <c r="I184" s="181"/>
      <c r="J184" s="181"/>
      <c r="K184" s="181"/>
      <c r="L184" s="181"/>
      <c r="M184" s="181"/>
      <c r="N184" s="100"/>
      <c r="O184" s="101"/>
      <c r="P184" s="101"/>
      <c r="Q184" s="102"/>
      <c r="R184" s="39"/>
      <c r="S184" s="39"/>
      <c r="T184" s="39"/>
      <c r="U184" s="109"/>
      <c r="V184" s="110"/>
      <c r="W184" s="110"/>
      <c r="X184" s="110"/>
      <c r="Y184" s="110"/>
      <c r="Z184" s="110"/>
      <c r="AA184" s="110"/>
      <c r="AB184" s="110"/>
      <c r="AC184" s="110"/>
      <c r="AD184" s="110"/>
      <c r="AE184" s="110"/>
      <c r="AF184" s="110"/>
      <c r="AG184" s="110"/>
      <c r="AH184" s="110"/>
      <c r="AI184" s="110"/>
      <c r="AJ184" s="111"/>
      <c r="AK184" s="50"/>
      <c r="AL184" s="50"/>
      <c r="AM184" s="183"/>
      <c r="AN184" s="184"/>
      <c r="AO184" s="184"/>
      <c r="AP184" s="184"/>
      <c r="AQ184" s="184"/>
      <c r="AR184" s="184"/>
      <c r="AS184" s="184"/>
      <c r="AT184" s="185"/>
      <c r="AU184" s="183"/>
      <c r="AV184" s="184"/>
      <c r="AW184" s="184"/>
      <c r="AX184" s="184"/>
      <c r="AY184" s="184"/>
      <c r="AZ184" s="184"/>
      <c r="BA184" s="184"/>
      <c r="BB184" s="185"/>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81"/>
      <c r="E185" s="181"/>
      <c r="F185" s="181"/>
      <c r="G185" s="181"/>
      <c r="H185" s="181"/>
      <c r="I185" s="181"/>
      <c r="J185" s="181"/>
      <c r="K185" s="181"/>
      <c r="L185" s="181"/>
      <c r="M185" s="181"/>
      <c r="N185" s="100"/>
      <c r="O185" s="101"/>
      <c r="P185" s="101"/>
      <c r="Q185" s="102"/>
      <c r="R185" s="39"/>
      <c r="S185" s="39"/>
      <c r="T185" s="39"/>
      <c r="U185" s="109"/>
      <c r="V185" s="110"/>
      <c r="W185" s="110"/>
      <c r="X185" s="110"/>
      <c r="Y185" s="110"/>
      <c r="Z185" s="110"/>
      <c r="AA185" s="110"/>
      <c r="AB185" s="110"/>
      <c r="AC185" s="110"/>
      <c r="AD185" s="110"/>
      <c r="AE185" s="110"/>
      <c r="AF185" s="110"/>
      <c r="AG185" s="110"/>
      <c r="AH185" s="110"/>
      <c r="AI185" s="110"/>
      <c r="AJ185" s="111"/>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81"/>
      <c r="E186" s="181"/>
      <c r="F186" s="181"/>
      <c r="G186" s="181"/>
      <c r="H186" s="181"/>
      <c r="I186" s="181"/>
      <c r="J186" s="181"/>
      <c r="K186" s="181"/>
      <c r="L186" s="181"/>
      <c r="M186" s="181"/>
      <c r="N186" s="103"/>
      <c r="O186" s="104"/>
      <c r="P186" s="104"/>
      <c r="Q186" s="105"/>
      <c r="R186" s="39"/>
      <c r="S186" s="39"/>
      <c r="T186" s="39"/>
      <c r="U186" s="109"/>
      <c r="V186" s="110"/>
      <c r="W186" s="110"/>
      <c r="X186" s="110"/>
      <c r="Y186" s="110"/>
      <c r="Z186" s="110"/>
      <c r="AA186" s="110"/>
      <c r="AB186" s="110"/>
      <c r="AC186" s="110"/>
      <c r="AD186" s="110"/>
      <c r="AE186" s="110"/>
      <c r="AF186" s="110"/>
      <c r="AG186" s="110"/>
      <c r="AH186" s="110"/>
      <c r="AI186" s="110"/>
      <c r="AJ186" s="111"/>
      <c r="AK186" s="50"/>
      <c r="AL186" s="50"/>
      <c r="AM186" s="118" t="str">
        <f>IF([3]回答表!X44="○",[3]回答表!G272,IF([3]回答表!AA44="○",[3]回答表!G289,""))</f>
        <v/>
      </c>
      <c r="AN186" s="119"/>
      <c r="AO186" s="119"/>
      <c r="AP186" s="119"/>
      <c r="AQ186" s="119"/>
      <c r="AR186" s="119"/>
      <c r="AS186" s="119"/>
      <c r="AT186" s="120"/>
      <c r="AU186" s="118" t="str">
        <f>IF([3]回答表!X44="○",[3]回答表!G273,IF([3]回答表!AA44="○",[3]回答表!G290,""))</f>
        <v/>
      </c>
      <c r="AV186" s="119"/>
      <c r="AW186" s="119"/>
      <c r="AX186" s="119"/>
      <c r="AY186" s="119"/>
      <c r="AZ186" s="119"/>
      <c r="BA186" s="119"/>
      <c r="BB186" s="120"/>
      <c r="BC186" s="40"/>
      <c r="BD186" s="35"/>
      <c r="BE186" s="82" t="str">
        <f>IF([3]回答表!X44="○",[3]回答表!X272,IF([3]回答表!AA44="○",[3]回答表!X289,""))</f>
        <v/>
      </c>
      <c r="BF186" s="83"/>
      <c r="BG186" s="83"/>
      <c r="BH186" s="83"/>
      <c r="BI186" s="82" t="str">
        <f>IF([3]回答表!X44="○",[3]回答表!X273,IF([3]回答表!AA44="○",[3]回答表!X290,""))</f>
        <v/>
      </c>
      <c r="BJ186" s="83"/>
      <c r="BK186" s="83"/>
      <c r="BL186" s="86"/>
      <c r="BM186" s="82" t="str">
        <f>IF([3]回答表!X44="○",[3]回答表!X274,IF([3]回答表!AA44="○",[3]回答表!X291,""))</f>
        <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09"/>
      <c r="V187" s="110"/>
      <c r="W187" s="110"/>
      <c r="X187" s="110"/>
      <c r="Y187" s="110"/>
      <c r="Z187" s="110"/>
      <c r="AA187" s="110"/>
      <c r="AB187" s="110"/>
      <c r="AC187" s="110"/>
      <c r="AD187" s="110"/>
      <c r="AE187" s="110"/>
      <c r="AF187" s="110"/>
      <c r="AG187" s="110"/>
      <c r="AH187" s="110"/>
      <c r="AI187" s="110"/>
      <c r="AJ187" s="111"/>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09"/>
      <c r="V188" s="110"/>
      <c r="W188" s="110"/>
      <c r="X188" s="110"/>
      <c r="Y188" s="110"/>
      <c r="Z188" s="110"/>
      <c r="AA188" s="110"/>
      <c r="AB188" s="110"/>
      <c r="AC188" s="110"/>
      <c r="AD188" s="110"/>
      <c r="AE188" s="110"/>
      <c r="AF188" s="110"/>
      <c r="AG188" s="110"/>
      <c r="AH188" s="110"/>
      <c r="AI188" s="110"/>
      <c r="AJ188" s="111"/>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86" t="s">
        <v>26</v>
      </c>
      <c r="E189" s="181"/>
      <c r="F189" s="181"/>
      <c r="G189" s="181"/>
      <c r="H189" s="181"/>
      <c r="I189" s="181"/>
      <c r="J189" s="181"/>
      <c r="K189" s="181"/>
      <c r="L189" s="181"/>
      <c r="M189" s="182"/>
      <c r="N189" s="97" t="str">
        <f>IF([3]回答表!AA44="○","○","")</f>
        <v/>
      </c>
      <c r="O189" s="98"/>
      <c r="P189" s="98"/>
      <c r="Q189" s="99"/>
      <c r="R189" s="39"/>
      <c r="S189" s="39"/>
      <c r="T189" s="39"/>
      <c r="U189" s="109"/>
      <c r="V189" s="110"/>
      <c r="W189" s="110"/>
      <c r="X189" s="110"/>
      <c r="Y189" s="110"/>
      <c r="Z189" s="110"/>
      <c r="AA189" s="110"/>
      <c r="AB189" s="110"/>
      <c r="AC189" s="110"/>
      <c r="AD189" s="110"/>
      <c r="AE189" s="110"/>
      <c r="AF189" s="110"/>
      <c r="AG189" s="110"/>
      <c r="AH189" s="110"/>
      <c r="AI189" s="110"/>
      <c r="AJ189" s="111"/>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81"/>
      <c r="E190" s="181"/>
      <c r="F190" s="181"/>
      <c r="G190" s="181"/>
      <c r="H190" s="181"/>
      <c r="I190" s="181"/>
      <c r="J190" s="181"/>
      <c r="K190" s="181"/>
      <c r="L190" s="181"/>
      <c r="M190" s="182"/>
      <c r="N190" s="100"/>
      <c r="O190" s="101"/>
      <c r="P190" s="101"/>
      <c r="Q190" s="102"/>
      <c r="R190" s="39"/>
      <c r="S190" s="39"/>
      <c r="T190" s="39"/>
      <c r="U190" s="109"/>
      <c r="V190" s="110"/>
      <c r="W190" s="110"/>
      <c r="X190" s="110"/>
      <c r="Y190" s="110"/>
      <c r="Z190" s="110"/>
      <c r="AA190" s="110"/>
      <c r="AB190" s="110"/>
      <c r="AC190" s="110"/>
      <c r="AD190" s="110"/>
      <c r="AE190" s="110"/>
      <c r="AF190" s="110"/>
      <c r="AG190" s="110"/>
      <c r="AH190" s="110"/>
      <c r="AI190" s="110"/>
      <c r="AJ190" s="111"/>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81"/>
      <c r="E191" s="181"/>
      <c r="F191" s="181"/>
      <c r="G191" s="181"/>
      <c r="H191" s="181"/>
      <c r="I191" s="181"/>
      <c r="J191" s="181"/>
      <c r="K191" s="181"/>
      <c r="L191" s="181"/>
      <c r="M191" s="182"/>
      <c r="N191" s="100"/>
      <c r="O191" s="101"/>
      <c r="P191" s="101"/>
      <c r="Q191" s="102"/>
      <c r="R191" s="39"/>
      <c r="S191" s="39"/>
      <c r="T191" s="39"/>
      <c r="U191" s="109"/>
      <c r="V191" s="110"/>
      <c r="W191" s="110"/>
      <c r="X191" s="110"/>
      <c r="Y191" s="110"/>
      <c r="Z191" s="110"/>
      <c r="AA191" s="110"/>
      <c r="AB191" s="110"/>
      <c r="AC191" s="110"/>
      <c r="AD191" s="110"/>
      <c r="AE191" s="110"/>
      <c r="AF191" s="110"/>
      <c r="AG191" s="110"/>
      <c r="AH191" s="110"/>
      <c r="AI191" s="110"/>
      <c r="AJ191" s="111"/>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81"/>
      <c r="E192" s="181"/>
      <c r="F192" s="181"/>
      <c r="G192" s="181"/>
      <c r="H192" s="181"/>
      <c r="I192" s="181"/>
      <c r="J192" s="181"/>
      <c r="K192" s="181"/>
      <c r="L192" s="181"/>
      <c r="M192" s="182"/>
      <c r="N192" s="103"/>
      <c r="O192" s="104"/>
      <c r="P192" s="104"/>
      <c r="Q192" s="105"/>
      <c r="R192" s="39"/>
      <c r="S192" s="39"/>
      <c r="T192" s="39"/>
      <c r="U192" s="112"/>
      <c r="V192" s="113"/>
      <c r="W192" s="113"/>
      <c r="X192" s="113"/>
      <c r="Y192" s="113"/>
      <c r="Z192" s="113"/>
      <c r="AA192" s="113"/>
      <c r="AB192" s="113"/>
      <c r="AC192" s="113"/>
      <c r="AD192" s="113"/>
      <c r="AE192" s="113"/>
      <c r="AF192" s="113"/>
      <c r="AG192" s="113"/>
      <c r="AH192" s="113"/>
      <c r="AI192" s="113"/>
      <c r="AJ192" s="114"/>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81" t="s">
        <v>34</v>
      </c>
      <c r="E195" s="181"/>
      <c r="F195" s="181"/>
      <c r="G195" s="181"/>
      <c r="H195" s="181"/>
      <c r="I195" s="181"/>
      <c r="J195" s="181"/>
      <c r="K195" s="181"/>
      <c r="L195" s="181"/>
      <c r="M195" s="182"/>
      <c r="N195" s="97" t="str">
        <f>IF([3]回答表!AD44="○","○","")</f>
        <v/>
      </c>
      <c r="O195" s="98"/>
      <c r="P195" s="98"/>
      <c r="Q195" s="99"/>
      <c r="R195" s="39"/>
      <c r="S195" s="39"/>
      <c r="T195" s="39"/>
      <c r="U195" s="106" t="str">
        <f>IF([3]回答表!AD44="○",[3]回答表!B296,"")</f>
        <v/>
      </c>
      <c r="V195" s="107"/>
      <c r="W195" s="107"/>
      <c r="X195" s="107"/>
      <c r="Y195" s="107"/>
      <c r="Z195" s="107"/>
      <c r="AA195" s="107"/>
      <c r="AB195" s="107"/>
      <c r="AC195" s="107"/>
      <c r="AD195" s="107"/>
      <c r="AE195" s="107"/>
      <c r="AF195" s="107"/>
      <c r="AG195" s="107"/>
      <c r="AH195" s="107"/>
      <c r="AI195" s="107"/>
      <c r="AJ195" s="108"/>
      <c r="AK195" s="61"/>
      <c r="AL195" s="61"/>
      <c r="AM195" s="106" t="str">
        <f>IF([3]回答表!AD44="○",[3]回答表!B302,"")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81"/>
      <c r="E196" s="181"/>
      <c r="F196" s="181"/>
      <c r="G196" s="181"/>
      <c r="H196" s="181"/>
      <c r="I196" s="181"/>
      <c r="J196" s="181"/>
      <c r="K196" s="181"/>
      <c r="L196" s="181"/>
      <c r="M196" s="182"/>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81"/>
      <c r="E197" s="181"/>
      <c r="F197" s="181"/>
      <c r="G197" s="181"/>
      <c r="H197" s="181"/>
      <c r="I197" s="181"/>
      <c r="J197" s="181"/>
      <c r="K197" s="181"/>
      <c r="L197" s="181"/>
      <c r="M197" s="182"/>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81"/>
      <c r="E198" s="181"/>
      <c r="F198" s="181"/>
      <c r="G198" s="181"/>
      <c r="H198" s="181"/>
      <c r="I198" s="181"/>
      <c r="J198" s="181"/>
      <c r="K198" s="181"/>
      <c r="L198" s="181"/>
      <c r="M198" s="182"/>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62"/>
      <c r="AS201" s="162"/>
      <c r="AT201" s="162"/>
      <c r="AU201" s="162"/>
      <c r="AV201" s="162"/>
      <c r="AW201" s="162"/>
      <c r="AX201" s="162"/>
      <c r="AY201" s="162"/>
      <c r="AZ201" s="162"/>
      <c r="BA201" s="162"/>
      <c r="BB201" s="162"/>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63"/>
      <c r="AS202" s="163"/>
      <c r="AT202" s="163"/>
      <c r="AU202" s="163"/>
      <c r="AV202" s="163"/>
      <c r="AW202" s="163"/>
      <c r="AX202" s="163"/>
      <c r="AY202" s="163"/>
      <c r="AZ202" s="163"/>
      <c r="BA202" s="163"/>
      <c r="BB202" s="163"/>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IF([3]回答表!X45="○","○","")</f>
        <v/>
      </c>
      <c r="O207" s="98"/>
      <c r="P207" s="98"/>
      <c r="Q207" s="99"/>
      <c r="R207" s="39"/>
      <c r="S207" s="39"/>
      <c r="T207" s="39"/>
      <c r="U207" s="106" t="str">
        <f>IF([3]回答表!X45="○",[3]回答表!B314,IF([3]回答表!AA45="○",[3]回答表!B337,""))</f>
        <v/>
      </c>
      <c r="V207" s="107"/>
      <c r="W207" s="107"/>
      <c r="X207" s="107"/>
      <c r="Y207" s="107"/>
      <c r="Z207" s="107"/>
      <c r="AA207" s="107"/>
      <c r="AB207" s="107"/>
      <c r="AC207" s="107"/>
      <c r="AD207" s="107"/>
      <c r="AE207" s="107"/>
      <c r="AF207" s="107"/>
      <c r="AG207" s="107"/>
      <c r="AH207" s="107"/>
      <c r="AI207" s="107"/>
      <c r="AJ207" s="108"/>
      <c r="AK207" s="50"/>
      <c r="AL207" s="50"/>
      <c r="AM207" s="50"/>
      <c r="AN207" s="106" t="str">
        <f>IF([3]回答表!X45="○",[3]回答表!B320,"")</f>
        <v/>
      </c>
      <c r="AO207" s="173"/>
      <c r="AP207" s="173"/>
      <c r="AQ207" s="173"/>
      <c r="AR207" s="173"/>
      <c r="AS207" s="173"/>
      <c r="AT207" s="173"/>
      <c r="AU207" s="173"/>
      <c r="AV207" s="173"/>
      <c r="AW207" s="173"/>
      <c r="AX207" s="173"/>
      <c r="AY207" s="173"/>
      <c r="AZ207" s="173"/>
      <c r="BA207" s="173"/>
      <c r="BB207" s="174"/>
      <c r="BC207" s="40"/>
      <c r="BD207" s="35"/>
      <c r="BE207" s="115" t="str">
        <f>IF([3]回答表!X45="○",[3]回答表!B326,IF([3]回答表!AA45="○",[3]回答表!B343,""))</f>
        <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75"/>
      <c r="AO208" s="176"/>
      <c r="AP208" s="176"/>
      <c r="AQ208" s="176"/>
      <c r="AR208" s="176"/>
      <c r="AS208" s="176"/>
      <c r="AT208" s="176"/>
      <c r="AU208" s="176"/>
      <c r="AV208" s="176"/>
      <c r="AW208" s="176"/>
      <c r="AX208" s="176"/>
      <c r="AY208" s="176"/>
      <c r="AZ208" s="176"/>
      <c r="BA208" s="176"/>
      <c r="BB208" s="177"/>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75"/>
      <c r="AO209" s="176"/>
      <c r="AP209" s="176"/>
      <c r="AQ209" s="176"/>
      <c r="AR209" s="176"/>
      <c r="AS209" s="176"/>
      <c r="AT209" s="176"/>
      <c r="AU209" s="176"/>
      <c r="AV209" s="176"/>
      <c r="AW209" s="176"/>
      <c r="AX209" s="176"/>
      <c r="AY209" s="176"/>
      <c r="AZ209" s="176"/>
      <c r="BA209" s="176"/>
      <c r="BB209" s="177"/>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75"/>
      <c r="AO210" s="176"/>
      <c r="AP210" s="176"/>
      <c r="AQ210" s="176"/>
      <c r="AR210" s="176"/>
      <c r="AS210" s="176"/>
      <c r="AT210" s="176"/>
      <c r="AU210" s="176"/>
      <c r="AV210" s="176"/>
      <c r="AW210" s="176"/>
      <c r="AX210" s="176"/>
      <c r="AY210" s="176"/>
      <c r="AZ210" s="176"/>
      <c r="BA210" s="176"/>
      <c r="BB210" s="177"/>
      <c r="BC210" s="40"/>
      <c r="BD210" s="35"/>
      <c r="BE210" s="82" t="str">
        <f>IF([3]回答表!X45="○",[3]回答表!E326,IF([3]回答表!AA45="○",[3]回答表!E343,""))</f>
        <v/>
      </c>
      <c r="BF210" s="83"/>
      <c r="BG210" s="83"/>
      <c r="BH210" s="83"/>
      <c r="BI210" s="82" t="str">
        <f>IF([3]回答表!X45="○",[3]回答表!E327,IF([3]回答表!AA45="○",[3]回答表!E344,""))</f>
        <v/>
      </c>
      <c r="BJ210" s="83"/>
      <c r="BK210" s="83"/>
      <c r="BL210" s="86"/>
      <c r="BM210" s="82" t="str">
        <f>IF([3]回答表!X45="○",[3]回答表!E328,IF([3]回答表!AA45="○",[3]回答表!E345,""))</f>
        <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75"/>
      <c r="AO211" s="176"/>
      <c r="AP211" s="176"/>
      <c r="AQ211" s="176"/>
      <c r="AR211" s="176"/>
      <c r="AS211" s="176"/>
      <c r="AT211" s="176"/>
      <c r="AU211" s="176"/>
      <c r="AV211" s="176"/>
      <c r="AW211" s="176"/>
      <c r="AX211" s="176"/>
      <c r="AY211" s="176"/>
      <c r="AZ211" s="176"/>
      <c r="BA211" s="176"/>
      <c r="BB211" s="177"/>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75"/>
      <c r="AO212" s="176"/>
      <c r="AP212" s="176"/>
      <c r="AQ212" s="176"/>
      <c r="AR212" s="176"/>
      <c r="AS212" s="176"/>
      <c r="AT212" s="176"/>
      <c r="AU212" s="176"/>
      <c r="AV212" s="176"/>
      <c r="AW212" s="176"/>
      <c r="AX212" s="176"/>
      <c r="AY212" s="176"/>
      <c r="AZ212" s="176"/>
      <c r="BA212" s="176"/>
      <c r="BB212" s="177"/>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IF([3]回答表!AA45="○","○","")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75"/>
      <c r="AO213" s="176"/>
      <c r="AP213" s="176"/>
      <c r="AQ213" s="176"/>
      <c r="AR213" s="176"/>
      <c r="AS213" s="176"/>
      <c r="AT213" s="176"/>
      <c r="AU213" s="176"/>
      <c r="AV213" s="176"/>
      <c r="AW213" s="176"/>
      <c r="AX213" s="176"/>
      <c r="AY213" s="176"/>
      <c r="AZ213" s="176"/>
      <c r="BA213" s="176"/>
      <c r="BB213" s="177"/>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75"/>
      <c r="AO214" s="176"/>
      <c r="AP214" s="176"/>
      <c r="AQ214" s="176"/>
      <c r="AR214" s="176"/>
      <c r="AS214" s="176"/>
      <c r="AT214" s="176"/>
      <c r="AU214" s="176"/>
      <c r="AV214" s="176"/>
      <c r="AW214" s="176"/>
      <c r="AX214" s="176"/>
      <c r="AY214" s="176"/>
      <c r="AZ214" s="176"/>
      <c r="BA214" s="176"/>
      <c r="BB214" s="177"/>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75"/>
      <c r="AO215" s="176"/>
      <c r="AP215" s="176"/>
      <c r="AQ215" s="176"/>
      <c r="AR215" s="176"/>
      <c r="AS215" s="176"/>
      <c r="AT215" s="176"/>
      <c r="AU215" s="176"/>
      <c r="AV215" s="176"/>
      <c r="AW215" s="176"/>
      <c r="AX215" s="176"/>
      <c r="AY215" s="176"/>
      <c r="AZ215" s="176"/>
      <c r="BA215" s="176"/>
      <c r="BB215" s="177"/>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78"/>
      <c r="AO216" s="179"/>
      <c r="AP216" s="179"/>
      <c r="AQ216" s="179"/>
      <c r="AR216" s="179"/>
      <c r="AS216" s="179"/>
      <c r="AT216" s="179"/>
      <c r="AU216" s="179"/>
      <c r="AV216" s="179"/>
      <c r="AW216" s="179"/>
      <c r="AX216" s="179"/>
      <c r="AY216" s="179"/>
      <c r="AZ216" s="179"/>
      <c r="BA216" s="179"/>
      <c r="BB216" s="180"/>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IF([3]回答表!AD45="○","○","")</f>
        <v/>
      </c>
      <c r="O219" s="98"/>
      <c r="P219" s="98"/>
      <c r="Q219" s="99"/>
      <c r="R219" s="39"/>
      <c r="S219" s="39"/>
      <c r="T219" s="39"/>
      <c r="U219" s="106" t="str">
        <f>IF([3]回答表!AD45="○",[3]回答表!B350,"")</f>
        <v/>
      </c>
      <c r="V219" s="107"/>
      <c r="W219" s="107"/>
      <c r="X219" s="107"/>
      <c r="Y219" s="107"/>
      <c r="Z219" s="107"/>
      <c r="AA219" s="107"/>
      <c r="AB219" s="107"/>
      <c r="AC219" s="107"/>
      <c r="AD219" s="107"/>
      <c r="AE219" s="107"/>
      <c r="AF219" s="107"/>
      <c r="AG219" s="107"/>
      <c r="AH219" s="107"/>
      <c r="AI219" s="107"/>
      <c r="AJ219" s="108"/>
      <c r="AK219" s="61"/>
      <c r="AL219" s="61"/>
      <c r="AM219" s="106" t="str">
        <f>IF([3]回答表!AD45="○",[3]回答表!B356,"")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62"/>
      <c r="AS225" s="162"/>
      <c r="AT225" s="162"/>
      <c r="AU225" s="162"/>
      <c r="AV225" s="162"/>
      <c r="AW225" s="162"/>
      <c r="AX225" s="162"/>
      <c r="AY225" s="162"/>
      <c r="AZ225" s="162"/>
      <c r="BA225" s="162"/>
      <c r="BB225" s="162"/>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63"/>
      <c r="AS226" s="163"/>
      <c r="AT226" s="163"/>
      <c r="AU226" s="163"/>
      <c r="AV226" s="163"/>
      <c r="AW226" s="163"/>
      <c r="AX226" s="163"/>
      <c r="AY226" s="163"/>
      <c r="AZ226" s="163"/>
      <c r="BA226" s="163"/>
      <c r="BB226" s="163"/>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IF([3]回答表!X46="○","○","")</f>
        <v/>
      </c>
      <c r="O231" s="98"/>
      <c r="P231" s="98"/>
      <c r="Q231" s="99"/>
      <c r="R231" s="39"/>
      <c r="S231" s="39"/>
      <c r="T231" s="39"/>
      <c r="U231" s="106" t="str">
        <f>IF([3]回答表!X46="○",[3]回答表!B368,IF([3]回答表!AA46="○",[3]回答表!B382,""))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IF([3]回答表!X46="○",[3]回答表!BC375,IF([3]回答表!AA46="○",[3]回答表!BC389,""))</f>
        <v/>
      </c>
      <c r="AR231" s="150"/>
      <c r="AS231" s="150"/>
      <c r="AT231" s="150"/>
      <c r="AU231" s="164" t="s">
        <v>63</v>
      </c>
      <c r="AV231" s="165"/>
      <c r="AW231" s="165"/>
      <c r="AX231" s="166"/>
      <c r="AY231" s="150" t="str">
        <f>IF([3]回答表!X46="○",[3]回答表!BC380,IF([3]回答表!AA46="○",[3]回答表!BC394,""))</f>
        <v/>
      </c>
      <c r="AZ231" s="150"/>
      <c r="BA231" s="150"/>
      <c r="BB231" s="150"/>
      <c r="BC231" s="40"/>
      <c r="BD231" s="35"/>
      <c r="BE231" s="115" t="str">
        <f>IF([3]回答表!X46="○",[3]回答表!S374,IF([3]回答表!AA46="○",[3]回答表!S388,""))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67"/>
      <c r="AV232" s="168"/>
      <c r="AW232" s="168"/>
      <c r="AX232" s="169"/>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IF([3]回答表!X46="○",[3]回答表!BC376,IF([3]回答表!AA46="○",[3]回答表!BC390,""))</f>
        <v/>
      </c>
      <c r="AR233" s="150"/>
      <c r="AS233" s="150"/>
      <c r="AT233" s="150"/>
      <c r="AU233" s="167"/>
      <c r="AV233" s="168"/>
      <c r="AW233" s="168"/>
      <c r="AX233" s="169"/>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67"/>
      <c r="AV234" s="168"/>
      <c r="AW234" s="168"/>
      <c r="AX234" s="169"/>
      <c r="AY234" s="150"/>
      <c r="AZ234" s="150"/>
      <c r="BA234" s="150"/>
      <c r="BB234" s="150"/>
      <c r="BC234" s="40"/>
      <c r="BD234" s="35"/>
      <c r="BE234" s="82" t="str">
        <f>IF([3]回答表!X46="○",[3]回答表!V374,IF([3]回答表!AA46="○",[3]回答表!V388,""))</f>
        <v/>
      </c>
      <c r="BF234" s="83"/>
      <c r="BG234" s="83"/>
      <c r="BH234" s="83"/>
      <c r="BI234" s="82" t="str">
        <f>IF([3]回答表!X46="○",[3]回答表!V375,IF([3]回答表!AA46="○",[3]回答表!V389,""))</f>
        <v/>
      </c>
      <c r="BJ234" s="83"/>
      <c r="BK234" s="83"/>
      <c r="BL234" s="86"/>
      <c r="BM234" s="82" t="str">
        <f>IF([3]回答表!X46="○",[3]回答表!V376,IF([3]回答表!AA46="○",[3]回答表!V390,""))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IF([3]回答表!X46="○",[3]回答表!BC377,IF([3]回答表!AA46="○",[3]回答表!BC391,""))</f>
        <v/>
      </c>
      <c r="AR235" s="150"/>
      <c r="AS235" s="150"/>
      <c r="AT235" s="150"/>
      <c r="AU235" s="170"/>
      <c r="AV235" s="171"/>
      <c r="AW235" s="171"/>
      <c r="AX235" s="172"/>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60" t="str">
        <f>IF([3]回答表!X46="○",[3]回答表!BC381,IF([3]回答表!AA46="○",[3]回答表!BC395,""))</f>
        <v/>
      </c>
      <c r="AZ236" s="160"/>
      <c r="BA236" s="160"/>
      <c r="BB236" s="160"/>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IF([3]回答表!AA46="○","○","")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61" t="str">
        <f>IF([3]回答表!X46="○",[3]回答表!BC378,IF([3]回答表!AA46="○",[3]回答表!BC392,""))</f>
        <v/>
      </c>
      <c r="AR237" s="150"/>
      <c r="AS237" s="150"/>
      <c r="AT237" s="150"/>
      <c r="AU237" s="149"/>
      <c r="AV237" s="149"/>
      <c r="AW237" s="149"/>
      <c r="AX237" s="149"/>
      <c r="AY237" s="160"/>
      <c r="AZ237" s="160"/>
      <c r="BA237" s="160"/>
      <c r="BB237" s="160"/>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60"/>
      <c r="AZ238" s="160"/>
      <c r="BA238" s="160"/>
      <c r="BB238" s="160"/>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IF([3]回答表!X46="○",[3]回答表!BC379,IF([3]回答表!AA46="○",[3]回答表!BC393,""))</f>
        <v/>
      </c>
      <c r="AR239" s="150"/>
      <c r="AS239" s="150"/>
      <c r="AT239" s="150"/>
      <c r="AU239" s="149"/>
      <c r="AV239" s="149"/>
      <c r="AW239" s="149"/>
      <c r="AX239" s="149"/>
      <c r="AY239" s="160"/>
      <c r="AZ239" s="160"/>
      <c r="BA239" s="160"/>
      <c r="BB239" s="160"/>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60"/>
      <c r="AZ240" s="160"/>
      <c r="BA240" s="160"/>
      <c r="BB240" s="160"/>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IF([3]回答表!AD46="○","○","")</f>
        <v/>
      </c>
      <c r="O243" s="98"/>
      <c r="P243" s="98"/>
      <c r="Q243" s="99"/>
      <c r="R243" s="39"/>
      <c r="S243" s="39"/>
      <c r="T243" s="39"/>
      <c r="U243" s="106" t="str">
        <f>IF([3]回答表!AD46="○",[3]回答表!B396,"")</f>
        <v/>
      </c>
      <c r="V243" s="107"/>
      <c r="W243" s="107"/>
      <c r="X243" s="107"/>
      <c r="Y243" s="107"/>
      <c r="Z243" s="107"/>
      <c r="AA243" s="107"/>
      <c r="AB243" s="107"/>
      <c r="AC243" s="107"/>
      <c r="AD243" s="107"/>
      <c r="AE243" s="107"/>
      <c r="AF243" s="107"/>
      <c r="AG243" s="107"/>
      <c r="AH243" s="107"/>
      <c r="AI243" s="107"/>
      <c r="AJ243" s="108"/>
      <c r="AK243" s="56"/>
      <c r="AL243" s="56"/>
      <c r="AM243" s="106" t="str">
        <f>IF([3]回答表!AD46="○",[3]回答表!B402,"")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IF([3]回答表!X47="○","○","")</f>
        <v/>
      </c>
      <c r="O254" s="98"/>
      <c r="P254" s="98"/>
      <c r="Q254" s="99"/>
      <c r="R254" s="39"/>
      <c r="S254" s="39"/>
      <c r="T254" s="39"/>
      <c r="U254" s="106" t="str">
        <f>IF([3]回答表!X47="○",[3]回答表!B414,IF([3]回答表!AA47="○",[3]回答表!B431,""))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IF([3]回答表!X47="○",[3]回答表!B424,IF([3]回答表!AA47="○",[3]回答表!B441,""))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IF([3]回答表!X47="○",[3]回答表!G420,IF([3]回答表!AA47="○",[3]回答表!G437,""))</f>
        <v/>
      </c>
      <c r="AN256" s="119"/>
      <c r="AO256" s="119"/>
      <c r="AP256" s="119"/>
      <c r="AQ256" s="119"/>
      <c r="AR256" s="119"/>
      <c r="AS256" s="119"/>
      <c r="AT256" s="120"/>
      <c r="AU256" s="118" t="str">
        <f>IF([3]回答表!X47="○",[3]回答表!G421,IF([3]回答表!AA47="○",[3]回答表!G438,""))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IF([3]回答表!X47="○",[3]回答表!E424,IF([3]回答表!AA47="○",[3]回答表!E441,""))</f>
        <v/>
      </c>
      <c r="BF257" s="83"/>
      <c r="BG257" s="83"/>
      <c r="BH257" s="83"/>
      <c r="BI257" s="82" t="str">
        <f>IF([3]回答表!X47="○",[3]回答表!E425,IF([3]回答表!AA47="○",[3]回答表!E442,""))</f>
        <v/>
      </c>
      <c r="BJ257" s="83"/>
      <c r="BK257" s="83"/>
      <c r="BL257" s="86"/>
      <c r="BM257" s="82" t="str">
        <f>IF([3]回答表!X47="○",[3]回答表!E426,IF([3]回答表!AA47="○",[3]回答表!E443,""))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IF([3]回答表!AA47="○","○","")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IF([3]回答表!AD47="○","○","")</f>
        <v/>
      </c>
      <c r="O266" s="98"/>
      <c r="P266" s="98"/>
      <c r="Q266" s="99"/>
      <c r="R266" s="39"/>
      <c r="S266" s="39"/>
      <c r="T266" s="39"/>
      <c r="U266" s="106" t="str">
        <f>IF([3]回答表!AD47="○",[3]回答表!B448,"")</f>
        <v/>
      </c>
      <c r="V266" s="107"/>
      <c r="W266" s="107"/>
      <c r="X266" s="107"/>
      <c r="Y266" s="107"/>
      <c r="Z266" s="107"/>
      <c r="AA266" s="107"/>
      <c r="AB266" s="107"/>
      <c r="AC266" s="107"/>
      <c r="AD266" s="107"/>
      <c r="AE266" s="107"/>
      <c r="AF266" s="107"/>
      <c r="AG266" s="107"/>
      <c r="AH266" s="107"/>
      <c r="AI266" s="107"/>
      <c r="AJ266" s="108"/>
      <c r="AK266" s="50"/>
      <c r="AL266" s="50"/>
      <c r="AM266" s="106" t="str">
        <f>IF([3]回答表!AD47="○",[3]回答表!B454,"")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IF([3]回答表!R48="○",[3]回答表!B467,"")</f>
        <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2"/>
  <conditionalFormatting sqref="A29:XFD30 A28:BI28 BR28:XFD28">
    <cfRule type="expression" dxfId="6"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E0CF4-0D26-41B3-A040-C1C21ABB9061}">
  <sheetPr>
    <pageSetUpPr fitToPage="1"/>
  </sheetPr>
  <dimension ref="A1:CE298"/>
  <sheetViews>
    <sheetView showZeros="0" zoomScale="55" zoomScaleNormal="55" workbookViewId="0">
      <selection activeCell="CA248" sqref="CA248"/>
    </sheetView>
  </sheetViews>
  <sheetFormatPr defaultColWidth="2.875" defaultRowHeight="12.6" customHeight="1" x14ac:dyDescent="0.4"/>
  <cols>
    <col min="1" max="70" width="2.6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63" t="s">
        <v>0</v>
      </c>
      <c r="D8" s="264"/>
      <c r="E8" s="264"/>
      <c r="F8" s="264"/>
      <c r="G8" s="264"/>
      <c r="H8" s="264"/>
      <c r="I8" s="264"/>
      <c r="J8" s="264"/>
      <c r="K8" s="264"/>
      <c r="L8" s="264"/>
      <c r="M8" s="264"/>
      <c r="N8" s="264"/>
      <c r="O8" s="264"/>
      <c r="P8" s="264"/>
      <c r="Q8" s="264"/>
      <c r="R8" s="264"/>
      <c r="S8" s="264"/>
      <c r="T8" s="264"/>
      <c r="U8" s="265" t="s">
        <v>1</v>
      </c>
      <c r="V8" s="266"/>
      <c r="W8" s="266"/>
      <c r="X8" s="266"/>
      <c r="Y8" s="266"/>
      <c r="Z8" s="266"/>
      <c r="AA8" s="266"/>
      <c r="AB8" s="266"/>
      <c r="AC8" s="266"/>
      <c r="AD8" s="266"/>
      <c r="AE8" s="266"/>
      <c r="AF8" s="266"/>
      <c r="AG8" s="266"/>
      <c r="AH8" s="266"/>
      <c r="AI8" s="266"/>
      <c r="AJ8" s="266"/>
      <c r="AK8" s="266"/>
      <c r="AL8" s="266"/>
      <c r="AM8" s="266"/>
      <c r="AN8" s="267"/>
      <c r="AO8" s="268" t="s">
        <v>2</v>
      </c>
      <c r="AP8" s="266"/>
      <c r="AQ8" s="266"/>
      <c r="AR8" s="266"/>
      <c r="AS8" s="266"/>
      <c r="AT8" s="266"/>
      <c r="AU8" s="266"/>
      <c r="AV8" s="266"/>
      <c r="AW8" s="266"/>
      <c r="AX8" s="266"/>
      <c r="AY8" s="266"/>
      <c r="AZ8" s="266"/>
      <c r="BA8" s="266"/>
      <c r="BB8" s="266"/>
      <c r="BC8" s="266"/>
      <c r="BD8" s="266"/>
      <c r="BE8" s="267"/>
      <c r="BF8" s="263" t="s">
        <v>3</v>
      </c>
      <c r="BG8" s="269"/>
      <c r="BH8" s="269"/>
      <c r="BI8" s="269"/>
      <c r="BJ8" s="269"/>
      <c r="BK8" s="269"/>
      <c r="BL8" s="269"/>
      <c r="BM8" s="269"/>
      <c r="BN8" s="269"/>
      <c r="BO8" s="269"/>
      <c r="BP8" s="269"/>
      <c r="BQ8" s="8"/>
    </row>
    <row r="9" spans="3:70" ht="15.6" customHeight="1" x14ac:dyDescent="0.4">
      <c r="C9" s="264"/>
      <c r="D9" s="264"/>
      <c r="E9" s="264"/>
      <c r="F9" s="264"/>
      <c r="G9" s="264"/>
      <c r="H9" s="264"/>
      <c r="I9" s="264"/>
      <c r="J9" s="264"/>
      <c r="K9" s="264"/>
      <c r="L9" s="264"/>
      <c r="M9" s="264"/>
      <c r="N9" s="264"/>
      <c r="O9" s="264"/>
      <c r="P9" s="264"/>
      <c r="Q9" s="264"/>
      <c r="R9" s="264"/>
      <c r="S9" s="264"/>
      <c r="T9" s="264"/>
      <c r="U9" s="219"/>
      <c r="V9" s="217"/>
      <c r="W9" s="217"/>
      <c r="X9" s="217"/>
      <c r="Y9" s="217"/>
      <c r="Z9" s="217"/>
      <c r="AA9" s="217"/>
      <c r="AB9" s="217"/>
      <c r="AC9" s="217"/>
      <c r="AD9" s="217"/>
      <c r="AE9" s="217"/>
      <c r="AF9" s="217"/>
      <c r="AG9" s="217"/>
      <c r="AH9" s="217"/>
      <c r="AI9" s="217"/>
      <c r="AJ9" s="217"/>
      <c r="AK9" s="217"/>
      <c r="AL9" s="217"/>
      <c r="AM9" s="217"/>
      <c r="AN9" s="218"/>
      <c r="AO9" s="219"/>
      <c r="AP9" s="217"/>
      <c r="AQ9" s="217"/>
      <c r="AR9" s="217"/>
      <c r="AS9" s="217"/>
      <c r="AT9" s="217"/>
      <c r="AU9" s="217"/>
      <c r="AV9" s="217"/>
      <c r="AW9" s="217"/>
      <c r="AX9" s="217"/>
      <c r="AY9" s="217"/>
      <c r="AZ9" s="217"/>
      <c r="BA9" s="217"/>
      <c r="BB9" s="217"/>
      <c r="BC9" s="217"/>
      <c r="BD9" s="217"/>
      <c r="BE9" s="218"/>
      <c r="BF9" s="269"/>
      <c r="BG9" s="269"/>
      <c r="BH9" s="269"/>
      <c r="BI9" s="269"/>
      <c r="BJ9" s="269"/>
      <c r="BK9" s="269"/>
      <c r="BL9" s="269"/>
      <c r="BM9" s="269"/>
      <c r="BN9" s="269"/>
      <c r="BO9" s="269"/>
      <c r="BP9" s="269"/>
      <c r="BQ9" s="8"/>
    </row>
    <row r="10" spans="3:70" ht="15.6" customHeight="1" x14ac:dyDescent="0.4">
      <c r="C10" s="264"/>
      <c r="D10" s="264"/>
      <c r="E10" s="264"/>
      <c r="F10" s="264"/>
      <c r="G10" s="264"/>
      <c r="H10" s="264"/>
      <c r="I10" s="264"/>
      <c r="J10" s="264"/>
      <c r="K10" s="264"/>
      <c r="L10" s="264"/>
      <c r="M10" s="264"/>
      <c r="N10" s="264"/>
      <c r="O10" s="264"/>
      <c r="P10" s="264"/>
      <c r="Q10" s="264"/>
      <c r="R10" s="264"/>
      <c r="S10" s="264"/>
      <c r="T10" s="264"/>
      <c r="U10" s="220"/>
      <c r="V10" s="221"/>
      <c r="W10" s="221"/>
      <c r="X10" s="221"/>
      <c r="Y10" s="221"/>
      <c r="Z10" s="221"/>
      <c r="AA10" s="221"/>
      <c r="AB10" s="221"/>
      <c r="AC10" s="221"/>
      <c r="AD10" s="221"/>
      <c r="AE10" s="221"/>
      <c r="AF10" s="221"/>
      <c r="AG10" s="221"/>
      <c r="AH10" s="221"/>
      <c r="AI10" s="221"/>
      <c r="AJ10" s="221"/>
      <c r="AK10" s="221"/>
      <c r="AL10" s="221"/>
      <c r="AM10" s="221"/>
      <c r="AN10" s="222"/>
      <c r="AO10" s="220"/>
      <c r="AP10" s="221"/>
      <c r="AQ10" s="221"/>
      <c r="AR10" s="221"/>
      <c r="AS10" s="221"/>
      <c r="AT10" s="221"/>
      <c r="AU10" s="221"/>
      <c r="AV10" s="221"/>
      <c r="AW10" s="221"/>
      <c r="AX10" s="221"/>
      <c r="AY10" s="221"/>
      <c r="AZ10" s="221"/>
      <c r="BA10" s="221"/>
      <c r="BB10" s="221"/>
      <c r="BC10" s="221"/>
      <c r="BD10" s="221"/>
      <c r="BE10" s="222"/>
      <c r="BF10" s="269"/>
      <c r="BG10" s="269"/>
      <c r="BH10" s="269"/>
      <c r="BI10" s="269"/>
      <c r="BJ10" s="269"/>
      <c r="BK10" s="269"/>
      <c r="BL10" s="269"/>
      <c r="BM10" s="269"/>
      <c r="BN10" s="269"/>
      <c r="BO10" s="269"/>
      <c r="BP10" s="269"/>
      <c r="BQ10" s="8"/>
    </row>
    <row r="11" spans="3:70" ht="15.6" customHeight="1" x14ac:dyDescent="0.4">
      <c r="C11" s="270" t="str">
        <f>IF(COUNTIF([10]回答表!K15,"*")&gt;0,[10]回答表!K15,"")</f>
        <v>大館市</v>
      </c>
      <c r="D11" s="264"/>
      <c r="E11" s="264"/>
      <c r="F11" s="264"/>
      <c r="G11" s="264"/>
      <c r="H11" s="264"/>
      <c r="I11" s="264"/>
      <c r="J11" s="264"/>
      <c r="K11" s="264"/>
      <c r="L11" s="264"/>
      <c r="M11" s="264"/>
      <c r="N11" s="264"/>
      <c r="O11" s="264"/>
      <c r="P11" s="264"/>
      <c r="Q11" s="264"/>
      <c r="R11" s="264"/>
      <c r="S11" s="264"/>
      <c r="T11" s="264"/>
      <c r="U11" s="271" t="str">
        <f>IF(COUNTIF([10]回答表!F17,"*")&gt;0,[10]回答表!F17,"")</f>
        <v>市場事業</v>
      </c>
      <c r="V11" s="272"/>
      <c r="W11" s="272"/>
      <c r="X11" s="272"/>
      <c r="Y11" s="272"/>
      <c r="Z11" s="272"/>
      <c r="AA11" s="272"/>
      <c r="AB11" s="272"/>
      <c r="AC11" s="272"/>
      <c r="AD11" s="272"/>
      <c r="AE11" s="272"/>
      <c r="AF11" s="266"/>
      <c r="AG11" s="266"/>
      <c r="AH11" s="266"/>
      <c r="AI11" s="266"/>
      <c r="AJ11" s="266"/>
      <c r="AK11" s="266"/>
      <c r="AL11" s="266"/>
      <c r="AM11" s="266"/>
      <c r="AN11" s="267"/>
      <c r="AO11" s="277" t="str">
        <f>IF(COUNTIF([10]回答表!W17,"*")&gt;0,[10]回答表!W17,"")</f>
        <v>―</v>
      </c>
      <c r="AP11" s="266"/>
      <c r="AQ11" s="266"/>
      <c r="AR11" s="266"/>
      <c r="AS11" s="266"/>
      <c r="AT11" s="266"/>
      <c r="AU11" s="266"/>
      <c r="AV11" s="266"/>
      <c r="AW11" s="266"/>
      <c r="AX11" s="266"/>
      <c r="AY11" s="266"/>
      <c r="AZ11" s="266"/>
      <c r="BA11" s="266"/>
      <c r="BB11" s="266"/>
      <c r="BC11" s="266"/>
      <c r="BD11" s="266"/>
      <c r="BE11" s="267"/>
      <c r="BF11" s="270" t="str">
        <f>IF(COUNTIF([10]回答表!F19,"*")&gt;0,[10]回答表!F19,"")</f>
        <v>ー</v>
      </c>
      <c r="BG11" s="269"/>
      <c r="BH11" s="269"/>
      <c r="BI11" s="269"/>
      <c r="BJ11" s="269"/>
      <c r="BK11" s="269"/>
      <c r="BL11" s="269"/>
      <c r="BM11" s="269"/>
      <c r="BN11" s="269"/>
      <c r="BO11" s="269"/>
      <c r="BP11" s="269"/>
      <c r="BQ11" s="6"/>
    </row>
    <row r="12" spans="3:70" ht="15.6" customHeight="1" x14ac:dyDescent="0.4">
      <c r="C12" s="264"/>
      <c r="D12" s="264"/>
      <c r="E12" s="264"/>
      <c r="F12" s="264"/>
      <c r="G12" s="264"/>
      <c r="H12" s="264"/>
      <c r="I12" s="264"/>
      <c r="J12" s="264"/>
      <c r="K12" s="264"/>
      <c r="L12" s="264"/>
      <c r="M12" s="264"/>
      <c r="N12" s="264"/>
      <c r="O12" s="264"/>
      <c r="P12" s="264"/>
      <c r="Q12" s="264"/>
      <c r="R12" s="264"/>
      <c r="S12" s="264"/>
      <c r="T12" s="264"/>
      <c r="U12" s="273"/>
      <c r="V12" s="274"/>
      <c r="W12" s="274"/>
      <c r="X12" s="274"/>
      <c r="Y12" s="274"/>
      <c r="Z12" s="274"/>
      <c r="AA12" s="274"/>
      <c r="AB12" s="274"/>
      <c r="AC12" s="274"/>
      <c r="AD12" s="274"/>
      <c r="AE12" s="274"/>
      <c r="AF12" s="217"/>
      <c r="AG12" s="217"/>
      <c r="AH12" s="217"/>
      <c r="AI12" s="217"/>
      <c r="AJ12" s="217"/>
      <c r="AK12" s="217"/>
      <c r="AL12" s="217"/>
      <c r="AM12" s="217"/>
      <c r="AN12" s="218"/>
      <c r="AO12" s="219"/>
      <c r="AP12" s="217"/>
      <c r="AQ12" s="217"/>
      <c r="AR12" s="217"/>
      <c r="AS12" s="217"/>
      <c r="AT12" s="217"/>
      <c r="AU12" s="217"/>
      <c r="AV12" s="217"/>
      <c r="AW12" s="217"/>
      <c r="AX12" s="217"/>
      <c r="AY12" s="217"/>
      <c r="AZ12" s="217"/>
      <c r="BA12" s="217"/>
      <c r="BB12" s="217"/>
      <c r="BC12" s="217"/>
      <c r="BD12" s="217"/>
      <c r="BE12" s="218"/>
      <c r="BF12" s="269"/>
      <c r="BG12" s="269"/>
      <c r="BH12" s="269"/>
      <c r="BI12" s="269"/>
      <c r="BJ12" s="269"/>
      <c r="BK12" s="269"/>
      <c r="BL12" s="269"/>
      <c r="BM12" s="269"/>
      <c r="BN12" s="269"/>
      <c r="BO12" s="269"/>
      <c r="BP12" s="269"/>
      <c r="BQ12" s="6"/>
    </row>
    <row r="13" spans="3:70" ht="15.6" customHeight="1" x14ac:dyDescent="0.4">
      <c r="C13" s="264"/>
      <c r="D13" s="264"/>
      <c r="E13" s="264"/>
      <c r="F13" s="264"/>
      <c r="G13" s="264"/>
      <c r="H13" s="264"/>
      <c r="I13" s="264"/>
      <c r="J13" s="264"/>
      <c r="K13" s="264"/>
      <c r="L13" s="264"/>
      <c r="M13" s="264"/>
      <c r="N13" s="264"/>
      <c r="O13" s="264"/>
      <c r="P13" s="264"/>
      <c r="Q13" s="264"/>
      <c r="R13" s="264"/>
      <c r="S13" s="264"/>
      <c r="T13" s="264"/>
      <c r="U13" s="275"/>
      <c r="V13" s="276"/>
      <c r="W13" s="276"/>
      <c r="X13" s="276"/>
      <c r="Y13" s="276"/>
      <c r="Z13" s="276"/>
      <c r="AA13" s="276"/>
      <c r="AB13" s="276"/>
      <c r="AC13" s="276"/>
      <c r="AD13" s="276"/>
      <c r="AE13" s="276"/>
      <c r="AF13" s="221"/>
      <c r="AG13" s="221"/>
      <c r="AH13" s="221"/>
      <c r="AI13" s="221"/>
      <c r="AJ13" s="221"/>
      <c r="AK13" s="221"/>
      <c r="AL13" s="221"/>
      <c r="AM13" s="221"/>
      <c r="AN13" s="222"/>
      <c r="AO13" s="220"/>
      <c r="AP13" s="221"/>
      <c r="AQ13" s="221"/>
      <c r="AR13" s="221"/>
      <c r="AS13" s="221"/>
      <c r="AT13" s="221"/>
      <c r="AU13" s="221"/>
      <c r="AV13" s="221"/>
      <c r="AW13" s="221"/>
      <c r="AX13" s="221"/>
      <c r="AY13" s="221"/>
      <c r="AZ13" s="221"/>
      <c r="BA13" s="221"/>
      <c r="BB13" s="221"/>
      <c r="BC13" s="221"/>
      <c r="BD13" s="221"/>
      <c r="BE13" s="222"/>
      <c r="BF13" s="269"/>
      <c r="BG13" s="269"/>
      <c r="BH13" s="269"/>
      <c r="BI13" s="269"/>
      <c r="BJ13" s="269"/>
      <c r="BK13" s="269"/>
      <c r="BL13" s="269"/>
      <c r="BM13" s="269"/>
      <c r="BN13" s="269"/>
      <c r="BO13" s="269"/>
      <c r="BP13" s="269"/>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30" t="s">
        <v>4</v>
      </c>
      <c r="E18" s="231"/>
      <c r="F18" s="231"/>
      <c r="G18" s="231"/>
      <c r="H18" s="231"/>
      <c r="I18" s="231"/>
      <c r="J18" s="231"/>
      <c r="K18" s="231"/>
      <c r="L18" s="231"/>
      <c r="M18" s="231"/>
      <c r="N18" s="231"/>
      <c r="O18" s="231"/>
      <c r="P18" s="231"/>
      <c r="Q18" s="231"/>
      <c r="R18" s="231"/>
      <c r="S18" s="231"/>
      <c r="T18" s="231"/>
      <c r="U18" s="231"/>
      <c r="V18" s="231"/>
      <c r="W18" s="231"/>
      <c r="X18" s="231"/>
      <c r="Y18" s="231"/>
      <c r="Z18" s="231"/>
      <c r="AA18" s="231"/>
      <c r="AB18" s="231"/>
      <c r="AC18" s="231"/>
      <c r="AD18" s="231"/>
      <c r="AE18" s="231"/>
      <c r="AF18" s="231"/>
      <c r="AG18" s="231"/>
      <c r="AH18" s="231"/>
      <c r="AI18" s="231"/>
      <c r="AJ18" s="231"/>
      <c r="AK18" s="231"/>
      <c r="AL18" s="231"/>
      <c r="AM18" s="231"/>
      <c r="AN18" s="231"/>
      <c r="AO18" s="231"/>
      <c r="AP18" s="231"/>
      <c r="AQ18" s="231"/>
      <c r="AR18" s="231"/>
      <c r="AS18" s="231"/>
      <c r="AT18" s="231"/>
      <c r="AU18" s="231"/>
      <c r="AV18" s="231"/>
      <c r="AW18" s="231"/>
      <c r="AX18" s="231"/>
      <c r="AY18" s="231"/>
      <c r="AZ18" s="232"/>
      <c r="BA18" s="15"/>
      <c r="BB18" s="15"/>
      <c r="BC18" s="15"/>
      <c r="BD18" s="15"/>
      <c r="BE18" s="15"/>
      <c r="BF18" s="15"/>
      <c r="BG18" s="15"/>
      <c r="BH18" s="15"/>
      <c r="BI18" s="15"/>
      <c r="BJ18" s="15"/>
      <c r="BK18" s="16"/>
      <c r="BR18" s="13"/>
    </row>
    <row r="19" spans="3:83" ht="15.6" customHeight="1" x14ac:dyDescent="0.4">
      <c r="C19" s="14"/>
      <c r="D19" s="233"/>
      <c r="E19" s="234"/>
      <c r="F19" s="234"/>
      <c r="G19" s="234"/>
      <c r="H19" s="234"/>
      <c r="I19" s="234"/>
      <c r="J19" s="234"/>
      <c r="K19" s="234"/>
      <c r="L19" s="234"/>
      <c r="M19" s="234"/>
      <c r="N19" s="234"/>
      <c r="O19" s="234"/>
      <c r="P19" s="234"/>
      <c r="Q19" s="234"/>
      <c r="R19" s="234"/>
      <c r="S19" s="234"/>
      <c r="T19" s="234"/>
      <c r="U19" s="234"/>
      <c r="V19" s="234"/>
      <c r="W19" s="234"/>
      <c r="X19" s="234"/>
      <c r="Y19" s="234"/>
      <c r="Z19" s="234"/>
      <c r="AA19" s="234"/>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5"/>
      <c r="BA19" s="15"/>
      <c r="BB19" s="15"/>
      <c r="BC19" s="15"/>
      <c r="BD19" s="15"/>
      <c r="BE19" s="15"/>
      <c r="BF19" s="15"/>
      <c r="BG19" s="15"/>
      <c r="BH19" s="15"/>
      <c r="BI19" s="15"/>
      <c r="BJ19" s="15"/>
      <c r="BK19" s="16"/>
      <c r="BR19" s="13"/>
    </row>
    <row r="20" spans="3:83" ht="13.35" customHeight="1" x14ac:dyDescent="0.4">
      <c r="C20" s="14"/>
      <c r="D20" s="236" t="s">
        <v>5</v>
      </c>
      <c r="E20" s="237"/>
      <c r="F20" s="237"/>
      <c r="G20" s="237"/>
      <c r="H20" s="237"/>
      <c r="I20" s="237"/>
      <c r="J20" s="238"/>
      <c r="K20" s="236" t="s">
        <v>6</v>
      </c>
      <c r="L20" s="237"/>
      <c r="M20" s="237"/>
      <c r="N20" s="237"/>
      <c r="O20" s="237"/>
      <c r="P20" s="237"/>
      <c r="Q20" s="238"/>
      <c r="R20" s="236" t="s">
        <v>7</v>
      </c>
      <c r="S20" s="237"/>
      <c r="T20" s="237"/>
      <c r="U20" s="237"/>
      <c r="V20" s="237"/>
      <c r="W20" s="237"/>
      <c r="X20" s="238"/>
      <c r="Y20" s="245" t="s">
        <v>8</v>
      </c>
      <c r="Z20" s="246"/>
      <c r="AA20" s="246"/>
      <c r="AB20" s="246"/>
      <c r="AC20" s="246"/>
      <c r="AD20" s="246"/>
      <c r="AE20" s="246"/>
      <c r="AF20" s="246"/>
      <c r="AG20" s="246"/>
      <c r="AH20" s="246"/>
      <c r="AI20" s="246"/>
      <c r="AJ20" s="246"/>
      <c r="AK20" s="246"/>
      <c r="AL20" s="246"/>
      <c r="AM20" s="246"/>
      <c r="AN20" s="246"/>
      <c r="AO20" s="246"/>
      <c r="AP20" s="246"/>
      <c r="AQ20" s="246"/>
      <c r="AR20" s="246"/>
      <c r="AS20" s="246"/>
      <c r="AT20" s="246"/>
      <c r="AU20" s="246"/>
      <c r="AV20" s="246"/>
      <c r="AW20" s="246"/>
      <c r="AX20" s="246"/>
      <c r="AY20" s="246"/>
      <c r="AZ20" s="247"/>
      <c r="BA20" s="17"/>
      <c r="BB20" s="254" t="s">
        <v>9</v>
      </c>
      <c r="BC20" s="255"/>
      <c r="BD20" s="255"/>
      <c r="BE20" s="255"/>
      <c r="BF20" s="255"/>
      <c r="BG20" s="255"/>
      <c r="BH20" s="255"/>
      <c r="BI20" s="223"/>
      <c r="BJ20" s="224"/>
      <c r="BK20" s="16"/>
      <c r="BR20" s="18"/>
    </row>
    <row r="21" spans="3:83" ht="13.35" customHeight="1" x14ac:dyDescent="0.4">
      <c r="C21" s="14"/>
      <c r="D21" s="239"/>
      <c r="E21" s="240"/>
      <c r="F21" s="240"/>
      <c r="G21" s="240"/>
      <c r="H21" s="240"/>
      <c r="I21" s="240"/>
      <c r="J21" s="241"/>
      <c r="K21" s="239"/>
      <c r="L21" s="240"/>
      <c r="M21" s="240"/>
      <c r="N21" s="240"/>
      <c r="O21" s="240"/>
      <c r="P21" s="240"/>
      <c r="Q21" s="241"/>
      <c r="R21" s="239"/>
      <c r="S21" s="240"/>
      <c r="T21" s="240"/>
      <c r="U21" s="240"/>
      <c r="V21" s="240"/>
      <c r="W21" s="240"/>
      <c r="X21" s="241"/>
      <c r="Y21" s="248"/>
      <c r="Z21" s="249"/>
      <c r="AA21" s="249"/>
      <c r="AB21" s="249"/>
      <c r="AC21" s="249"/>
      <c r="AD21" s="249"/>
      <c r="AE21" s="249"/>
      <c r="AF21" s="249"/>
      <c r="AG21" s="249"/>
      <c r="AH21" s="249"/>
      <c r="AI21" s="249"/>
      <c r="AJ21" s="249"/>
      <c r="AK21" s="249"/>
      <c r="AL21" s="249"/>
      <c r="AM21" s="249"/>
      <c r="AN21" s="249"/>
      <c r="AO21" s="249"/>
      <c r="AP21" s="249"/>
      <c r="AQ21" s="249"/>
      <c r="AR21" s="249"/>
      <c r="AS21" s="249"/>
      <c r="AT21" s="249"/>
      <c r="AU21" s="249"/>
      <c r="AV21" s="249"/>
      <c r="AW21" s="249"/>
      <c r="AX21" s="249"/>
      <c r="AY21" s="249"/>
      <c r="AZ21" s="250"/>
      <c r="BA21" s="17"/>
      <c r="BB21" s="256"/>
      <c r="BC21" s="257"/>
      <c r="BD21" s="257"/>
      <c r="BE21" s="257"/>
      <c r="BF21" s="257"/>
      <c r="BG21" s="257"/>
      <c r="BH21" s="257"/>
      <c r="BI21" s="225"/>
      <c r="BJ21" s="226"/>
      <c r="BK21" s="16"/>
      <c r="BR21" s="18"/>
    </row>
    <row r="22" spans="3:83" ht="13.35" customHeight="1" x14ac:dyDescent="0.4">
      <c r="C22" s="14"/>
      <c r="D22" s="239"/>
      <c r="E22" s="240"/>
      <c r="F22" s="240"/>
      <c r="G22" s="240"/>
      <c r="H22" s="240"/>
      <c r="I22" s="240"/>
      <c r="J22" s="241"/>
      <c r="K22" s="239"/>
      <c r="L22" s="240"/>
      <c r="M22" s="240"/>
      <c r="N22" s="240"/>
      <c r="O22" s="240"/>
      <c r="P22" s="240"/>
      <c r="Q22" s="241"/>
      <c r="R22" s="239"/>
      <c r="S22" s="240"/>
      <c r="T22" s="240"/>
      <c r="U22" s="240"/>
      <c r="V22" s="240"/>
      <c r="W22" s="240"/>
      <c r="X22" s="241"/>
      <c r="Y22" s="251"/>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3"/>
      <c r="BA22" s="19"/>
      <c r="BB22" s="256"/>
      <c r="BC22" s="257"/>
      <c r="BD22" s="257"/>
      <c r="BE22" s="257"/>
      <c r="BF22" s="257"/>
      <c r="BG22" s="257"/>
      <c r="BH22" s="257"/>
      <c r="BI22" s="225"/>
      <c r="BJ22" s="226"/>
      <c r="BK22" s="16"/>
      <c r="BR22" s="18"/>
    </row>
    <row r="23" spans="3:83" ht="31.35" customHeight="1" x14ac:dyDescent="0.4">
      <c r="C23" s="14"/>
      <c r="D23" s="242"/>
      <c r="E23" s="243"/>
      <c r="F23" s="243"/>
      <c r="G23" s="243"/>
      <c r="H23" s="243"/>
      <c r="I23" s="243"/>
      <c r="J23" s="244"/>
      <c r="K23" s="242"/>
      <c r="L23" s="243"/>
      <c r="M23" s="243"/>
      <c r="N23" s="243"/>
      <c r="O23" s="243"/>
      <c r="P23" s="243"/>
      <c r="Q23" s="244"/>
      <c r="R23" s="242"/>
      <c r="S23" s="243"/>
      <c r="T23" s="243"/>
      <c r="U23" s="243"/>
      <c r="V23" s="243"/>
      <c r="W23" s="243"/>
      <c r="X23" s="244"/>
      <c r="Y23" s="260" t="s">
        <v>10</v>
      </c>
      <c r="Z23" s="261"/>
      <c r="AA23" s="261"/>
      <c r="AB23" s="261"/>
      <c r="AC23" s="261"/>
      <c r="AD23" s="261"/>
      <c r="AE23" s="262"/>
      <c r="AF23" s="260" t="s">
        <v>11</v>
      </c>
      <c r="AG23" s="261"/>
      <c r="AH23" s="261"/>
      <c r="AI23" s="261"/>
      <c r="AJ23" s="261"/>
      <c r="AK23" s="261"/>
      <c r="AL23" s="262"/>
      <c r="AM23" s="260" t="s">
        <v>12</v>
      </c>
      <c r="AN23" s="261"/>
      <c r="AO23" s="261"/>
      <c r="AP23" s="261"/>
      <c r="AQ23" s="261"/>
      <c r="AR23" s="261"/>
      <c r="AS23" s="262"/>
      <c r="AT23" s="260" t="s">
        <v>13</v>
      </c>
      <c r="AU23" s="261"/>
      <c r="AV23" s="261"/>
      <c r="AW23" s="261"/>
      <c r="AX23" s="261"/>
      <c r="AY23" s="261"/>
      <c r="AZ23" s="262"/>
      <c r="BA23" s="19"/>
      <c r="BB23" s="258"/>
      <c r="BC23" s="259"/>
      <c r="BD23" s="259"/>
      <c r="BE23" s="259"/>
      <c r="BF23" s="259"/>
      <c r="BG23" s="259"/>
      <c r="BH23" s="259"/>
      <c r="BI23" s="227"/>
      <c r="BJ23" s="228"/>
      <c r="BK23" s="16"/>
      <c r="BR23" s="18"/>
    </row>
    <row r="24" spans="3:83" ht="15.6" customHeight="1" x14ac:dyDescent="0.4">
      <c r="C24" s="14"/>
      <c r="D24" s="121" t="str">
        <f>IF([10]回答表!R41="○","○","")</f>
        <v/>
      </c>
      <c r="E24" s="122"/>
      <c r="F24" s="122"/>
      <c r="G24" s="122"/>
      <c r="H24" s="122"/>
      <c r="I24" s="122"/>
      <c r="J24" s="123"/>
      <c r="K24" s="121" t="str">
        <f>IF([10]回答表!R42="○","○","")</f>
        <v/>
      </c>
      <c r="L24" s="122"/>
      <c r="M24" s="122"/>
      <c r="N24" s="122"/>
      <c r="O24" s="122"/>
      <c r="P24" s="122"/>
      <c r="Q24" s="123"/>
      <c r="R24" s="121" t="str">
        <f>IF([10]回答表!R43="○","○","")</f>
        <v/>
      </c>
      <c r="S24" s="122"/>
      <c r="T24" s="122"/>
      <c r="U24" s="122"/>
      <c r="V24" s="122"/>
      <c r="W24" s="122"/>
      <c r="X24" s="123"/>
      <c r="Y24" s="121" t="str">
        <f>IF([10]回答表!R44="○","○","")</f>
        <v/>
      </c>
      <c r="Z24" s="122"/>
      <c r="AA24" s="122"/>
      <c r="AB24" s="122"/>
      <c r="AC24" s="122"/>
      <c r="AD24" s="122"/>
      <c r="AE24" s="123"/>
      <c r="AF24" s="121" t="str">
        <f>IF([10]回答表!R45="○","○","")</f>
        <v/>
      </c>
      <c r="AG24" s="122"/>
      <c r="AH24" s="122"/>
      <c r="AI24" s="122"/>
      <c r="AJ24" s="122"/>
      <c r="AK24" s="122"/>
      <c r="AL24" s="123"/>
      <c r="AM24" s="121" t="str">
        <f>IF([10]回答表!R46="○","○","")</f>
        <v/>
      </c>
      <c r="AN24" s="122"/>
      <c r="AO24" s="122"/>
      <c r="AP24" s="122"/>
      <c r="AQ24" s="122"/>
      <c r="AR24" s="122"/>
      <c r="AS24" s="123"/>
      <c r="AT24" s="121" t="str">
        <f>IF([10]回答表!R47="○","○","")</f>
        <v/>
      </c>
      <c r="AU24" s="122"/>
      <c r="AV24" s="122"/>
      <c r="AW24" s="122"/>
      <c r="AX24" s="122"/>
      <c r="AY24" s="122"/>
      <c r="AZ24" s="123"/>
      <c r="BA24" s="19"/>
      <c r="BB24" s="118" t="str">
        <f>IF([10]回答表!R48="○","○","")</f>
        <v>○</v>
      </c>
      <c r="BC24" s="119"/>
      <c r="BD24" s="119"/>
      <c r="BE24" s="119"/>
      <c r="BF24" s="119"/>
      <c r="BG24" s="119"/>
      <c r="BH24" s="119"/>
      <c r="BI24" s="223"/>
      <c r="BJ24" s="224"/>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25"/>
      <c r="BJ25" s="226"/>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27"/>
      <c r="BJ26" s="228"/>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IF([10]回答表!X41="○","○","")</f>
        <v/>
      </c>
      <c r="O36" s="98"/>
      <c r="P36" s="98"/>
      <c r="Q36" s="99"/>
      <c r="R36" s="39"/>
      <c r="S36" s="39"/>
      <c r="T36" s="39"/>
      <c r="U36" s="106" t="str">
        <f>IF([10]回答表!X41="○",[10]回答表!B56,IF([10]回答表!AA41="○",[10]回答表!B76,""))</f>
        <v/>
      </c>
      <c r="V36" s="107"/>
      <c r="W36" s="107"/>
      <c r="X36" s="107"/>
      <c r="Y36" s="107"/>
      <c r="Z36" s="107"/>
      <c r="AA36" s="107"/>
      <c r="AB36" s="107"/>
      <c r="AC36" s="107"/>
      <c r="AD36" s="107"/>
      <c r="AE36" s="107"/>
      <c r="AF36" s="107"/>
      <c r="AG36" s="107"/>
      <c r="AH36" s="107"/>
      <c r="AI36" s="107"/>
      <c r="AJ36" s="108"/>
      <c r="AK36" s="50"/>
      <c r="AL36" s="50"/>
      <c r="AM36" s="229" t="s">
        <v>19</v>
      </c>
      <c r="AN36" s="229"/>
      <c r="AO36" s="229"/>
      <c r="AP36" s="229"/>
      <c r="AQ36" s="229"/>
      <c r="AR36" s="229"/>
      <c r="AS36" s="229"/>
      <c r="AT36" s="229"/>
      <c r="AU36" s="229" t="s">
        <v>20</v>
      </c>
      <c r="AV36" s="229"/>
      <c r="AW36" s="229"/>
      <c r="AX36" s="229"/>
      <c r="AY36" s="229"/>
      <c r="AZ36" s="229"/>
      <c r="BA36" s="229"/>
      <c r="BB36" s="229"/>
      <c r="BC36" s="40"/>
      <c r="BD36" s="35"/>
      <c r="BE36" s="115" t="str">
        <f>IF([10]回答表!X41="○",[10]回答表!S62,IF([10]回答表!AA41="○",[10]回答表!S82,""))</f>
        <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29"/>
      <c r="AN37" s="229"/>
      <c r="AO37" s="229"/>
      <c r="AP37" s="229"/>
      <c r="AQ37" s="229"/>
      <c r="AR37" s="229"/>
      <c r="AS37" s="229"/>
      <c r="AT37" s="229"/>
      <c r="AU37" s="229"/>
      <c r="AV37" s="229"/>
      <c r="AW37" s="229"/>
      <c r="AX37" s="229"/>
      <c r="AY37" s="229"/>
      <c r="AZ37" s="229"/>
      <c r="BA37" s="229"/>
      <c r="BB37" s="229"/>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IF([10]回答表!X41="○",[10]回答表!G62,IF([10]回答表!AA41="○",[10]回答表!G82,""))</f>
        <v/>
      </c>
      <c r="AN38" s="119"/>
      <c r="AO38" s="119"/>
      <c r="AP38" s="119"/>
      <c r="AQ38" s="119"/>
      <c r="AR38" s="119"/>
      <c r="AS38" s="119"/>
      <c r="AT38" s="120"/>
      <c r="AU38" s="118" t="str">
        <f>IF([10]回答表!X41="○",[10]回答表!G63,IF([10]回答表!AA41="○",[10]回答表!G83,""))</f>
        <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t="str">
        <f>IF([10]回答表!X41="○",[10]回答表!V62,IF([10]回答表!AA41="○",[10]回答表!V82,""))</f>
        <v/>
      </c>
      <c r="BF39" s="217"/>
      <c r="BG39" s="217"/>
      <c r="BH39" s="218"/>
      <c r="BI39" s="82" t="str">
        <f>IF([10]回答表!X41="○",[10]回答表!V63,IF([10]回答表!AA41="○",[10]回答表!V83,""))</f>
        <v/>
      </c>
      <c r="BJ39" s="217"/>
      <c r="BK39" s="217"/>
      <c r="BL39" s="218"/>
      <c r="BM39" s="82" t="str">
        <f>IF([10]回答表!X41="○",[10]回答表!V64,IF([10]回答表!AA41="○",[10]回答表!V84,""))</f>
        <v/>
      </c>
      <c r="BN39" s="217"/>
      <c r="BO39" s="217"/>
      <c r="BP39" s="218"/>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19"/>
      <c r="BF40" s="217"/>
      <c r="BG40" s="217"/>
      <c r="BH40" s="218"/>
      <c r="BI40" s="219"/>
      <c r="BJ40" s="217"/>
      <c r="BK40" s="217"/>
      <c r="BL40" s="218"/>
      <c r="BM40" s="219"/>
      <c r="BN40" s="217"/>
      <c r="BO40" s="217"/>
      <c r="BP40" s="218"/>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19"/>
      <c r="BF41" s="217"/>
      <c r="BG41" s="217"/>
      <c r="BH41" s="218"/>
      <c r="BI41" s="219"/>
      <c r="BJ41" s="217"/>
      <c r="BK41" s="217"/>
      <c r="BL41" s="218"/>
      <c r="BM41" s="219"/>
      <c r="BN41" s="217"/>
      <c r="BO41" s="217"/>
      <c r="BP41" s="218"/>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215" t="str">
        <f>IF([10]回答表!X41="○",[10]回答表!O68,IF([10]回答表!AA41="○",[10]回答表!O88,""))</f>
        <v/>
      </c>
      <c r="AN42" s="216"/>
      <c r="AO42" s="213" t="s">
        <v>21</v>
      </c>
      <c r="AP42" s="213"/>
      <c r="AQ42" s="213"/>
      <c r="AR42" s="213"/>
      <c r="AS42" s="213"/>
      <c r="AT42" s="213"/>
      <c r="AU42" s="213"/>
      <c r="AV42" s="213"/>
      <c r="AW42" s="213"/>
      <c r="AX42" s="213"/>
      <c r="AY42" s="213"/>
      <c r="AZ42" s="213"/>
      <c r="BA42" s="213"/>
      <c r="BB42" s="214"/>
      <c r="BC42" s="40"/>
      <c r="BD42" s="40"/>
      <c r="BE42" s="219"/>
      <c r="BF42" s="217"/>
      <c r="BG42" s="217"/>
      <c r="BH42" s="218"/>
      <c r="BI42" s="219"/>
      <c r="BJ42" s="217"/>
      <c r="BK42" s="217"/>
      <c r="BL42" s="218"/>
      <c r="BM42" s="219"/>
      <c r="BN42" s="217"/>
      <c r="BO42" s="217"/>
      <c r="BP42" s="218"/>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215" t="str">
        <f>IF([10]回答表!X41="○",[10]回答表!O69,IF([10]回答表!AA41="○",[10]回答表!O89,""))</f>
        <v/>
      </c>
      <c r="AN43" s="216"/>
      <c r="AO43" s="213" t="s">
        <v>22</v>
      </c>
      <c r="AP43" s="213"/>
      <c r="AQ43" s="213"/>
      <c r="AR43" s="213"/>
      <c r="AS43" s="213"/>
      <c r="AT43" s="213"/>
      <c r="AU43" s="213"/>
      <c r="AV43" s="213"/>
      <c r="AW43" s="213"/>
      <c r="AX43" s="213"/>
      <c r="AY43" s="213"/>
      <c r="AZ43" s="213"/>
      <c r="BA43" s="213"/>
      <c r="BB43" s="214"/>
      <c r="BC43" s="40"/>
      <c r="BD43" s="35"/>
      <c r="BE43" s="82" t="s">
        <v>23</v>
      </c>
      <c r="BF43" s="217"/>
      <c r="BG43" s="217"/>
      <c r="BH43" s="218"/>
      <c r="BI43" s="82" t="s">
        <v>24</v>
      </c>
      <c r="BJ43" s="217"/>
      <c r="BK43" s="217"/>
      <c r="BL43" s="218"/>
      <c r="BM43" s="82" t="s">
        <v>25</v>
      </c>
      <c r="BN43" s="217"/>
      <c r="BO43" s="217"/>
      <c r="BP43" s="218"/>
      <c r="BQ43" s="38"/>
      <c r="BR43" s="25"/>
    </row>
    <row r="44" spans="1:70" ht="15.6" customHeight="1" x14ac:dyDescent="0.4">
      <c r="A44" s="25"/>
      <c r="B44" s="25"/>
      <c r="C44" s="33"/>
      <c r="D44" s="140" t="s">
        <v>26</v>
      </c>
      <c r="E44" s="141"/>
      <c r="F44" s="141"/>
      <c r="G44" s="141"/>
      <c r="H44" s="141"/>
      <c r="I44" s="141"/>
      <c r="J44" s="141"/>
      <c r="K44" s="141"/>
      <c r="L44" s="141"/>
      <c r="M44" s="142"/>
      <c r="N44" s="97" t="str">
        <f>IF([10]回答表!AA41="○","○","")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215" t="str">
        <f>IF([10]回答表!X41="○",[10]回答表!O70,IF([10]回答表!AA41="○",[10]回答表!O90,""))</f>
        <v/>
      </c>
      <c r="AN44" s="216"/>
      <c r="AO44" s="213" t="s">
        <v>27</v>
      </c>
      <c r="AP44" s="213"/>
      <c r="AQ44" s="213"/>
      <c r="AR44" s="213"/>
      <c r="AS44" s="213"/>
      <c r="AT44" s="213"/>
      <c r="AU44" s="213"/>
      <c r="AV44" s="213"/>
      <c r="AW44" s="213"/>
      <c r="AX44" s="213"/>
      <c r="AY44" s="213"/>
      <c r="AZ44" s="213"/>
      <c r="BA44" s="213"/>
      <c r="BB44" s="214"/>
      <c r="BC44" s="40"/>
      <c r="BD44" s="54"/>
      <c r="BE44" s="219"/>
      <c r="BF44" s="217"/>
      <c r="BG44" s="217"/>
      <c r="BH44" s="218"/>
      <c r="BI44" s="219"/>
      <c r="BJ44" s="217"/>
      <c r="BK44" s="217"/>
      <c r="BL44" s="218"/>
      <c r="BM44" s="219"/>
      <c r="BN44" s="217"/>
      <c r="BO44" s="217"/>
      <c r="BP44" s="218"/>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215" t="str">
        <f>IF([10]回答表!X41="○",[10]回答表!O71,IF([10]回答表!AA41="○",[10]回答表!O91,""))</f>
        <v/>
      </c>
      <c r="AN45" s="216"/>
      <c r="AO45" s="213" t="s">
        <v>28</v>
      </c>
      <c r="AP45" s="213"/>
      <c r="AQ45" s="213"/>
      <c r="AR45" s="213"/>
      <c r="AS45" s="213"/>
      <c r="AT45" s="213"/>
      <c r="AU45" s="213"/>
      <c r="AV45" s="213"/>
      <c r="AW45" s="213"/>
      <c r="AX45" s="213"/>
      <c r="AY45" s="213"/>
      <c r="AZ45" s="213"/>
      <c r="BA45" s="213"/>
      <c r="BB45" s="214"/>
      <c r="BC45" s="40"/>
      <c r="BD45" s="54"/>
      <c r="BE45" s="220"/>
      <c r="BF45" s="221"/>
      <c r="BG45" s="221"/>
      <c r="BH45" s="222"/>
      <c r="BI45" s="220"/>
      <c r="BJ45" s="221"/>
      <c r="BK45" s="221"/>
      <c r="BL45" s="222"/>
      <c r="BM45" s="220"/>
      <c r="BN45" s="221"/>
      <c r="BO45" s="221"/>
      <c r="BP45" s="222"/>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215" t="str">
        <f>IF([10]回答表!X41="○",[10]回答表!AG68,IF([10]回答表!AA41="○",[10]回答表!AG88,""))</f>
        <v/>
      </c>
      <c r="AN46" s="216"/>
      <c r="AO46" s="213" t="s">
        <v>29</v>
      </c>
      <c r="AP46" s="213"/>
      <c r="AQ46" s="213"/>
      <c r="AR46" s="213"/>
      <c r="AS46" s="213"/>
      <c r="AT46" s="213"/>
      <c r="AU46" s="213"/>
      <c r="AV46" s="213"/>
      <c r="AW46" s="213"/>
      <c r="AX46" s="213"/>
      <c r="AY46" s="213"/>
      <c r="AZ46" s="213"/>
      <c r="BA46" s="213"/>
      <c r="BB46" s="214"/>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215" t="str">
        <f>IF([10]回答表!X41="○",[10]回答表!AG69,IF([10]回答表!AA41="○",[10]回答表!AG89,""))</f>
        <v/>
      </c>
      <c r="AN47" s="216"/>
      <c r="AO47" s="213" t="s">
        <v>30</v>
      </c>
      <c r="AP47" s="213"/>
      <c r="AQ47" s="213"/>
      <c r="AR47" s="213"/>
      <c r="AS47" s="213"/>
      <c r="AT47" s="213"/>
      <c r="AU47" s="213"/>
      <c r="AV47" s="213"/>
      <c r="AW47" s="213"/>
      <c r="AX47" s="213"/>
      <c r="AY47" s="213"/>
      <c r="AZ47" s="213"/>
      <c r="BA47" s="213"/>
      <c r="BB47" s="214"/>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215" t="str">
        <f>IF([10]回答表!X41="○",[10]回答表!AG70,IF([10]回答表!AA41="○",[10]回答表!AG90,""))</f>
        <v/>
      </c>
      <c r="AN48" s="216"/>
      <c r="AO48" s="213" t="s">
        <v>31</v>
      </c>
      <c r="AP48" s="213"/>
      <c r="AQ48" s="213"/>
      <c r="AR48" s="213"/>
      <c r="AS48" s="213"/>
      <c r="AT48" s="213"/>
      <c r="AU48" s="213"/>
      <c r="AV48" s="213"/>
      <c r="AW48" s="213"/>
      <c r="AX48" s="213"/>
      <c r="AY48" s="213"/>
      <c r="AZ48" s="213"/>
      <c r="BA48" s="213"/>
      <c r="BB48" s="214"/>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IF([10]回答表!AD41="○","○","")</f>
        <v/>
      </c>
      <c r="O52" s="98"/>
      <c r="P52" s="98"/>
      <c r="Q52" s="99"/>
      <c r="R52" s="39"/>
      <c r="S52" s="39"/>
      <c r="T52" s="39"/>
      <c r="U52" s="106" t="str">
        <f>IF([10]回答表!AD41="○",[10]回答表!B96,"")</f>
        <v/>
      </c>
      <c r="V52" s="107"/>
      <c r="W52" s="107"/>
      <c r="X52" s="107"/>
      <c r="Y52" s="107"/>
      <c r="Z52" s="107"/>
      <c r="AA52" s="107"/>
      <c r="AB52" s="107"/>
      <c r="AC52" s="107"/>
      <c r="AD52" s="107"/>
      <c r="AE52" s="107"/>
      <c r="AF52" s="107"/>
      <c r="AG52" s="107"/>
      <c r="AH52" s="107"/>
      <c r="AI52" s="107"/>
      <c r="AJ52" s="108"/>
      <c r="AK52" s="56"/>
      <c r="AL52" s="56"/>
      <c r="AM52" s="106" t="str">
        <f>IF([10]回答表!AD41="○",[10]回答表!B101,"")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IF([10]回答表!X42="○","○","")</f>
        <v/>
      </c>
      <c r="O63" s="98"/>
      <c r="P63" s="98"/>
      <c r="Q63" s="99"/>
      <c r="R63" s="39"/>
      <c r="S63" s="39"/>
      <c r="T63" s="39"/>
      <c r="U63" s="106" t="str">
        <f>IF([10]回答表!X42="○",[10]回答表!B111,IF([10]回答表!AA42="○",[10]回答表!B124,""))</f>
        <v/>
      </c>
      <c r="V63" s="107"/>
      <c r="W63" s="107"/>
      <c r="X63" s="107"/>
      <c r="Y63" s="107"/>
      <c r="Z63" s="107"/>
      <c r="AA63" s="107"/>
      <c r="AB63" s="107"/>
      <c r="AC63" s="107"/>
      <c r="AD63" s="107"/>
      <c r="AE63" s="107"/>
      <c r="AF63" s="107"/>
      <c r="AG63" s="107"/>
      <c r="AH63" s="107"/>
      <c r="AI63" s="107"/>
      <c r="AJ63" s="108"/>
      <c r="AK63" s="50"/>
      <c r="AL63" s="50"/>
      <c r="AM63" s="212" t="s">
        <v>37</v>
      </c>
      <c r="AN63" s="212"/>
      <c r="AO63" s="212"/>
      <c r="AP63" s="212"/>
      <c r="AQ63" s="212"/>
      <c r="AR63" s="212"/>
      <c r="AS63" s="212"/>
      <c r="AT63" s="212"/>
      <c r="AU63" s="212" t="s">
        <v>38</v>
      </c>
      <c r="AV63" s="212"/>
      <c r="AW63" s="212"/>
      <c r="AX63" s="212"/>
      <c r="AY63" s="212"/>
      <c r="AZ63" s="212"/>
      <c r="BA63" s="212"/>
      <c r="BB63" s="212"/>
      <c r="BC63" s="40"/>
      <c r="BD63" s="35"/>
      <c r="BE63" s="115" t="str">
        <f>IF([10]回答表!X42="○",[10]回答表!S117,IF([10]回答表!AA42="○",[10]回答表!S130,""))</f>
        <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212"/>
      <c r="AN64" s="212"/>
      <c r="AO64" s="212"/>
      <c r="AP64" s="212"/>
      <c r="AQ64" s="212"/>
      <c r="AR64" s="212"/>
      <c r="AS64" s="212"/>
      <c r="AT64" s="212"/>
      <c r="AU64" s="212"/>
      <c r="AV64" s="212"/>
      <c r="AW64" s="212"/>
      <c r="AX64" s="212"/>
      <c r="AY64" s="212"/>
      <c r="AZ64" s="212"/>
      <c r="BA64" s="212"/>
      <c r="BB64" s="212"/>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212"/>
      <c r="AN65" s="212"/>
      <c r="AO65" s="212"/>
      <c r="AP65" s="212"/>
      <c r="AQ65" s="212"/>
      <c r="AR65" s="212"/>
      <c r="AS65" s="212"/>
      <c r="AT65" s="212"/>
      <c r="AU65" s="212"/>
      <c r="AV65" s="212"/>
      <c r="AW65" s="212"/>
      <c r="AX65" s="212"/>
      <c r="AY65" s="212"/>
      <c r="AZ65" s="212"/>
      <c r="BA65" s="212"/>
      <c r="BB65" s="212"/>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IF([10]回答表!X42="○",[10]回答表!J117,IF([10]回答表!AA42="○",[10]回答表!J130,""))</f>
        <v/>
      </c>
      <c r="AN66" s="119"/>
      <c r="AO66" s="119"/>
      <c r="AP66" s="119"/>
      <c r="AQ66" s="119"/>
      <c r="AR66" s="119"/>
      <c r="AS66" s="119"/>
      <c r="AT66" s="120"/>
      <c r="AU66" s="118" t="str">
        <f>IF([10]回答表!X42="○",[10]回答表!J118,IF([10]回答表!AA42="○",[10]回答表!J131,""))</f>
        <v/>
      </c>
      <c r="AV66" s="119"/>
      <c r="AW66" s="119"/>
      <c r="AX66" s="119"/>
      <c r="AY66" s="119"/>
      <c r="AZ66" s="119"/>
      <c r="BA66" s="119"/>
      <c r="BB66" s="120"/>
      <c r="BC66" s="40"/>
      <c r="BD66" s="35"/>
      <c r="BE66" s="82" t="str">
        <f>IF([10]回答表!X42="○",[10]回答表!V117,IF([10]回答表!AA42="○",[10]回答表!V130,""))</f>
        <v/>
      </c>
      <c r="BF66" s="83"/>
      <c r="BG66" s="83"/>
      <c r="BH66" s="83"/>
      <c r="BI66" s="82" t="str">
        <f>IF([10]回答表!X42="○",[10]回答表!V118,IF([10]回答表!AA42="○",[10]回答表!V131,""))</f>
        <v/>
      </c>
      <c r="BJ66" s="83"/>
      <c r="BK66" s="83"/>
      <c r="BL66" s="83"/>
      <c r="BM66" s="82" t="str">
        <f>IF([10]回答表!X42="○",[10]回答表!V119,IF([10]回答表!AA42="○",[10]回答表!V132,""))</f>
        <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IF([10]回答表!AA42="○","○","")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IF([10]回答表!AD42="○","○","")</f>
        <v/>
      </c>
      <c r="O75" s="98"/>
      <c r="P75" s="98"/>
      <c r="Q75" s="99"/>
      <c r="R75" s="39"/>
      <c r="S75" s="39"/>
      <c r="T75" s="39"/>
      <c r="U75" s="106" t="str">
        <f>IF([10]回答表!AD42="○",[10]回答表!B137,"")</f>
        <v/>
      </c>
      <c r="V75" s="107"/>
      <c r="W75" s="107"/>
      <c r="X75" s="107"/>
      <c r="Y75" s="107"/>
      <c r="Z75" s="107"/>
      <c r="AA75" s="107"/>
      <c r="AB75" s="107"/>
      <c r="AC75" s="107"/>
      <c r="AD75" s="107"/>
      <c r="AE75" s="107"/>
      <c r="AF75" s="107"/>
      <c r="AG75" s="107"/>
      <c r="AH75" s="107"/>
      <c r="AI75" s="107"/>
      <c r="AJ75" s="108"/>
      <c r="AK75" s="56"/>
      <c r="AL75" s="56"/>
      <c r="AM75" s="106" t="str">
        <f>IF([10]回答表!AD42="○",[10]回答表!B143,"")</f>
        <v/>
      </c>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8"/>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109"/>
      <c r="V76" s="110"/>
      <c r="W76" s="110"/>
      <c r="X76" s="110"/>
      <c r="Y76" s="110"/>
      <c r="Z76" s="110"/>
      <c r="AA76" s="110"/>
      <c r="AB76" s="110"/>
      <c r="AC76" s="110"/>
      <c r="AD76" s="110"/>
      <c r="AE76" s="110"/>
      <c r="AF76" s="110"/>
      <c r="AG76" s="110"/>
      <c r="AH76" s="110"/>
      <c r="AI76" s="110"/>
      <c r="AJ76" s="111"/>
      <c r="AK76" s="56"/>
      <c r="AL76" s="56"/>
      <c r="AM76" s="109"/>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1"/>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109"/>
      <c r="V77" s="110"/>
      <c r="W77" s="110"/>
      <c r="X77" s="110"/>
      <c r="Y77" s="110"/>
      <c r="Z77" s="110"/>
      <c r="AA77" s="110"/>
      <c r="AB77" s="110"/>
      <c r="AC77" s="110"/>
      <c r="AD77" s="110"/>
      <c r="AE77" s="110"/>
      <c r="AF77" s="110"/>
      <c r="AG77" s="110"/>
      <c r="AH77" s="110"/>
      <c r="AI77" s="110"/>
      <c r="AJ77" s="111"/>
      <c r="AK77" s="56"/>
      <c r="AL77" s="56"/>
      <c r="AM77" s="109"/>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1"/>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112"/>
      <c r="V78" s="113"/>
      <c r="W78" s="113"/>
      <c r="X78" s="113"/>
      <c r="Y78" s="113"/>
      <c r="Z78" s="113"/>
      <c r="AA78" s="113"/>
      <c r="AB78" s="113"/>
      <c r="AC78" s="113"/>
      <c r="AD78" s="113"/>
      <c r="AE78" s="113"/>
      <c r="AF78" s="113"/>
      <c r="AG78" s="113"/>
      <c r="AH78" s="113"/>
      <c r="AI78" s="113"/>
      <c r="AJ78" s="114"/>
      <c r="AK78" s="56"/>
      <c r="AL78" s="56"/>
      <c r="AM78" s="112"/>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4"/>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62"/>
      <c r="AS81" s="162"/>
      <c r="AT81" s="162"/>
      <c r="AU81" s="162"/>
      <c r="AV81" s="162"/>
      <c r="AW81" s="162"/>
      <c r="AX81" s="162"/>
      <c r="AY81" s="162"/>
      <c r="AZ81" s="162"/>
      <c r="BA81" s="162"/>
      <c r="BB81" s="162"/>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87"/>
      <c r="AS82" s="187"/>
      <c r="AT82" s="187"/>
      <c r="AU82" s="187"/>
      <c r="AV82" s="187"/>
      <c r="AW82" s="187"/>
      <c r="AX82" s="187"/>
      <c r="AY82" s="187"/>
      <c r="AZ82" s="187"/>
      <c r="BA82" s="187"/>
      <c r="BB82" s="187"/>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81" t="s">
        <v>18</v>
      </c>
      <c r="E87" s="181"/>
      <c r="F87" s="181"/>
      <c r="G87" s="181"/>
      <c r="H87" s="181"/>
      <c r="I87" s="181"/>
      <c r="J87" s="181"/>
      <c r="K87" s="181"/>
      <c r="L87" s="181"/>
      <c r="M87" s="181"/>
      <c r="N87" s="97" t="str">
        <f>IF([10]回答表!F17="水道事業",IF([10]回答表!X43="○","○",""),"")</f>
        <v/>
      </c>
      <c r="O87" s="98"/>
      <c r="P87" s="98"/>
      <c r="Q87" s="99"/>
      <c r="R87" s="39"/>
      <c r="S87" s="39"/>
      <c r="T87" s="39"/>
      <c r="U87" s="188" t="s">
        <v>41</v>
      </c>
      <c r="V87" s="189"/>
      <c r="W87" s="189"/>
      <c r="X87" s="189"/>
      <c r="Y87" s="189"/>
      <c r="Z87" s="189"/>
      <c r="AA87" s="189"/>
      <c r="AB87" s="189"/>
      <c r="AC87" s="188" t="s">
        <v>42</v>
      </c>
      <c r="AD87" s="189"/>
      <c r="AE87" s="189"/>
      <c r="AF87" s="189"/>
      <c r="AG87" s="189"/>
      <c r="AH87" s="189"/>
      <c r="AI87" s="189"/>
      <c r="AJ87" s="198"/>
      <c r="AK87" s="50"/>
      <c r="AL87" s="50"/>
      <c r="AM87" s="106" t="str">
        <f>IF([10]回答表!F17="水道事業",IF([10]回答表!X43="○",[10]回答表!B154,IF([10]回答表!AA43="○",[10]回答表!B201,"")),"")</f>
        <v/>
      </c>
      <c r="AN87" s="107"/>
      <c r="AO87" s="107"/>
      <c r="AP87" s="107"/>
      <c r="AQ87" s="107"/>
      <c r="AR87" s="107"/>
      <c r="AS87" s="107"/>
      <c r="AT87" s="107"/>
      <c r="AU87" s="107"/>
      <c r="AV87" s="107"/>
      <c r="AW87" s="107"/>
      <c r="AX87" s="107"/>
      <c r="AY87" s="107"/>
      <c r="AZ87" s="107"/>
      <c r="BA87" s="107"/>
      <c r="BB87" s="108"/>
      <c r="BC87" s="40"/>
      <c r="BD87" s="35"/>
      <c r="BE87" s="115" t="str">
        <f>IF([10]回答表!F17="水道事業",IF([10]回答表!X43="○",[10]回答表!B190,IF([10]回答表!AA43="○",[10]回答表!B238,"")),"")</f>
        <v/>
      </c>
      <c r="BF87" s="116"/>
      <c r="BG87" s="116"/>
      <c r="BH87" s="116"/>
      <c r="BI87" s="115"/>
      <c r="BJ87" s="116"/>
      <c r="BK87" s="116"/>
      <c r="BL87" s="116"/>
      <c r="BM87" s="115"/>
      <c r="BN87" s="116"/>
      <c r="BO87" s="116"/>
      <c r="BP87" s="117"/>
      <c r="BQ87" s="38"/>
    </row>
    <row r="88" spans="3:69" ht="19.350000000000001" customHeight="1" x14ac:dyDescent="0.4">
      <c r="C88" s="33"/>
      <c r="D88" s="181"/>
      <c r="E88" s="181"/>
      <c r="F88" s="181"/>
      <c r="G88" s="181"/>
      <c r="H88" s="181"/>
      <c r="I88" s="181"/>
      <c r="J88" s="181"/>
      <c r="K88" s="181"/>
      <c r="L88" s="181"/>
      <c r="M88" s="181"/>
      <c r="N88" s="100"/>
      <c r="O88" s="101"/>
      <c r="P88" s="101"/>
      <c r="Q88" s="102"/>
      <c r="R88" s="39"/>
      <c r="S88" s="39"/>
      <c r="T88" s="39"/>
      <c r="U88" s="190"/>
      <c r="V88" s="191"/>
      <c r="W88" s="191"/>
      <c r="X88" s="191"/>
      <c r="Y88" s="191"/>
      <c r="Z88" s="191"/>
      <c r="AA88" s="191"/>
      <c r="AB88" s="191"/>
      <c r="AC88" s="190"/>
      <c r="AD88" s="191"/>
      <c r="AE88" s="191"/>
      <c r="AF88" s="191"/>
      <c r="AG88" s="191"/>
      <c r="AH88" s="191"/>
      <c r="AI88" s="191"/>
      <c r="AJ88" s="199"/>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81"/>
      <c r="E89" s="181"/>
      <c r="F89" s="181"/>
      <c r="G89" s="181"/>
      <c r="H89" s="181"/>
      <c r="I89" s="181"/>
      <c r="J89" s="181"/>
      <c r="K89" s="181"/>
      <c r="L89" s="181"/>
      <c r="M89" s="181"/>
      <c r="N89" s="100"/>
      <c r="O89" s="101"/>
      <c r="P89" s="101"/>
      <c r="Q89" s="102"/>
      <c r="R89" s="39"/>
      <c r="S89" s="39"/>
      <c r="T89" s="39"/>
      <c r="U89" s="118" t="str">
        <f>IF([10]回答表!F17="水道事業",IF([10]回答表!X43="○",[10]回答表!J162,IF([10]回答表!AA43="○",[10]回答表!J209,"")),"")</f>
        <v/>
      </c>
      <c r="V89" s="119"/>
      <c r="W89" s="119"/>
      <c r="X89" s="119"/>
      <c r="Y89" s="119"/>
      <c r="Z89" s="119"/>
      <c r="AA89" s="119"/>
      <c r="AB89" s="120"/>
      <c r="AC89" s="118" t="str">
        <f>IF([10]回答表!F17="水道事業",IF([10]回答表!X43="○",[10]回答表!J169,IF([10]回答表!AA43="○",[10]回答表!J216,"")),"")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81"/>
      <c r="E90" s="181"/>
      <c r="F90" s="181"/>
      <c r="G90" s="181"/>
      <c r="H90" s="181"/>
      <c r="I90" s="181"/>
      <c r="J90" s="181"/>
      <c r="K90" s="181"/>
      <c r="L90" s="181"/>
      <c r="M90" s="181"/>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IF([10]回答表!F17="水道事業",IF([10]回答表!X43="○",[10]回答表!E190,IF([10]回答表!AA43="○",[10]回答表!E238,"")),"")</f>
        <v/>
      </c>
      <c r="BF90" s="83"/>
      <c r="BG90" s="83"/>
      <c r="BH90" s="83"/>
      <c r="BI90" s="82" t="str">
        <f>IF([10]回答表!F17="水道事業",IF([10]回答表!X43="○",[10]回答表!E191,IF([10]回答表!AA43="○",[10]回答表!E239,"")),"")</f>
        <v/>
      </c>
      <c r="BJ90" s="83"/>
      <c r="BK90" s="83"/>
      <c r="BL90" s="83"/>
      <c r="BM90" s="82" t="str">
        <f>IF([10]回答表!F17="水道事業",IF([10]回答表!X43="○",[10]回答表!E192,IF([10]回答表!AA43="○",[10]回答表!E240,"")),"")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88" t="s">
        <v>43</v>
      </c>
      <c r="V92" s="189"/>
      <c r="W92" s="189"/>
      <c r="X92" s="189"/>
      <c r="Y92" s="189"/>
      <c r="Z92" s="189"/>
      <c r="AA92" s="189"/>
      <c r="AB92" s="189"/>
      <c r="AC92" s="188" t="s">
        <v>44</v>
      </c>
      <c r="AD92" s="189"/>
      <c r="AE92" s="189"/>
      <c r="AF92" s="189"/>
      <c r="AG92" s="189"/>
      <c r="AH92" s="189"/>
      <c r="AI92" s="189"/>
      <c r="AJ92" s="198"/>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86" t="s">
        <v>26</v>
      </c>
      <c r="E93" s="181"/>
      <c r="F93" s="181"/>
      <c r="G93" s="181"/>
      <c r="H93" s="181"/>
      <c r="I93" s="181"/>
      <c r="J93" s="181"/>
      <c r="K93" s="181"/>
      <c r="L93" s="181"/>
      <c r="M93" s="182"/>
      <c r="N93" s="97" t="str">
        <f>IF([10]回答表!F17="水道事業",IF([10]回答表!AA43="○","○",""),"")</f>
        <v/>
      </c>
      <c r="O93" s="98"/>
      <c r="P93" s="98"/>
      <c r="Q93" s="99"/>
      <c r="R93" s="39"/>
      <c r="S93" s="39"/>
      <c r="T93" s="39"/>
      <c r="U93" s="190"/>
      <c r="V93" s="191"/>
      <c r="W93" s="191"/>
      <c r="X93" s="191"/>
      <c r="Y93" s="191"/>
      <c r="Z93" s="191"/>
      <c r="AA93" s="191"/>
      <c r="AB93" s="191"/>
      <c r="AC93" s="190"/>
      <c r="AD93" s="191"/>
      <c r="AE93" s="191"/>
      <c r="AF93" s="191"/>
      <c r="AG93" s="191"/>
      <c r="AH93" s="191"/>
      <c r="AI93" s="191"/>
      <c r="AJ93" s="199"/>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81"/>
      <c r="E94" s="181"/>
      <c r="F94" s="181"/>
      <c r="G94" s="181"/>
      <c r="H94" s="181"/>
      <c r="I94" s="181"/>
      <c r="J94" s="181"/>
      <c r="K94" s="181"/>
      <c r="L94" s="181"/>
      <c r="M94" s="182"/>
      <c r="N94" s="100"/>
      <c r="O94" s="101"/>
      <c r="P94" s="101"/>
      <c r="Q94" s="102"/>
      <c r="R94" s="39"/>
      <c r="S94" s="39"/>
      <c r="T94" s="39"/>
      <c r="U94" s="118" t="str">
        <f>IF([10]回答表!F17="水道事業",IF([10]回答表!X43="○",[10]回答表!J172,IF([10]回答表!AA43="○",[10]回答表!J219,"")),"")</f>
        <v/>
      </c>
      <c r="V94" s="119"/>
      <c r="W94" s="119"/>
      <c r="X94" s="119"/>
      <c r="Y94" s="119"/>
      <c r="Z94" s="119"/>
      <c r="AA94" s="119"/>
      <c r="AB94" s="120"/>
      <c r="AC94" s="118" t="str">
        <f>IF([10]回答表!F17="水道事業",IF([10]回答表!X43="○",[10]回答表!J176,IF([10]回答表!AA43="○",[10]回答表!J223,"")),"")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81"/>
      <c r="E95" s="181"/>
      <c r="F95" s="181"/>
      <c r="G95" s="181"/>
      <c r="H95" s="181"/>
      <c r="I95" s="181"/>
      <c r="J95" s="181"/>
      <c r="K95" s="181"/>
      <c r="L95" s="181"/>
      <c r="M95" s="182"/>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81"/>
      <c r="E96" s="181"/>
      <c r="F96" s="181"/>
      <c r="G96" s="181"/>
      <c r="H96" s="181"/>
      <c r="I96" s="181"/>
      <c r="J96" s="181"/>
      <c r="K96" s="181"/>
      <c r="L96" s="181"/>
      <c r="M96" s="182"/>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81" t="s">
        <v>34</v>
      </c>
      <c r="E99" s="181"/>
      <c r="F99" s="181"/>
      <c r="G99" s="181"/>
      <c r="H99" s="181"/>
      <c r="I99" s="181"/>
      <c r="J99" s="181"/>
      <c r="K99" s="181"/>
      <c r="L99" s="181"/>
      <c r="M99" s="182"/>
      <c r="N99" s="97" t="str">
        <f>IF([10]回答表!F17="水道事業",IF([10]回答表!AD43="○","○",""),"")</f>
        <v/>
      </c>
      <c r="O99" s="98"/>
      <c r="P99" s="98"/>
      <c r="Q99" s="99"/>
      <c r="R99" s="39"/>
      <c r="S99" s="39"/>
      <c r="T99" s="39"/>
      <c r="U99" s="106" t="str">
        <f>IF([10]回答表!F17="水道事業",IF([10]回答表!AD43="○",[10]回答表!B249,""),"")</f>
        <v/>
      </c>
      <c r="V99" s="107"/>
      <c r="W99" s="107"/>
      <c r="X99" s="107"/>
      <c r="Y99" s="107"/>
      <c r="Z99" s="107"/>
      <c r="AA99" s="107"/>
      <c r="AB99" s="107"/>
      <c r="AC99" s="107"/>
      <c r="AD99" s="107"/>
      <c r="AE99" s="107"/>
      <c r="AF99" s="107"/>
      <c r="AG99" s="107"/>
      <c r="AH99" s="107"/>
      <c r="AI99" s="107"/>
      <c r="AJ99" s="108"/>
      <c r="AK99" s="56"/>
      <c r="AL99" s="56"/>
      <c r="AM99" s="106" t="str">
        <f>IF([10]回答表!F17="水道事業",IF([10]回答表!AD43="○",[10]回答表!B255,""),"")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81"/>
      <c r="E100" s="181"/>
      <c r="F100" s="181"/>
      <c r="G100" s="181"/>
      <c r="H100" s="181"/>
      <c r="I100" s="181"/>
      <c r="J100" s="181"/>
      <c r="K100" s="181"/>
      <c r="L100" s="181"/>
      <c r="M100" s="182"/>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81"/>
      <c r="E101" s="181"/>
      <c r="F101" s="181"/>
      <c r="G101" s="181"/>
      <c r="H101" s="181"/>
      <c r="I101" s="181"/>
      <c r="J101" s="181"/>
      <c r="K101" s="181"/>
      <c r="L101" s="181"/>
      <c r="M101" s="182"/>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81"/>
      <c r="E102" s="181"/>
      <c r="F102" s="181"/>
      <c r="G102" s="181"/>
      <c r="H102" s="181"/>
      <c r="I102" s="181"/>
      <c r="J102" s="181"/>
      <c r="K102" s="181"/>
      <c r="L102" s="181"/>
      <c r="M102" s="182"/>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62"/>
      <c r="AS105" s="162"/>
      <c r="AT105" s="162"/>
      <c r="AU105" s="162"/>
      <c r="AV105" s="162"/>
      <c r="AW105" s="162"/>
      <c r="AX105" s="162"/>
      <c r="AY105" s="162"/>
      <c r="AZ105" s="162"/>
      <c r="BA105" s="162"/>
      <c r="BB105" s="162"/>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87"/>
      <c r="AS106" s="187"/>
      <c r="AT106" s="187"/>
      <c r="AU106" s="187"/>
      <c r="AV106" s="187"/>
      <c r="AW106" s="187"/>
      <c r="AX106" s="187"/>
      <c r="AY106" s="187"/>
      <c r="AZ106" s="187"/>
      <c r="BA106" s="187"/>
      <c r="BB106" s="187"/>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81" t="s">
        <v>18</v>
      </c>
      <c r="E111" s="181"/>
      <c r="F111" s="181"/>
      <c r="G111" s="181"/>
      <c r="H111" s="181"/>
      <c r="I111" s="181"/>
      <c r="J111" s="181"/>
      <c r="K111" s="181"/>
      <c r="L111" s="181"/>
      <c r="M111" s="181"/>
      <c r="N111" s="97" t="str">
        <f>IF([10]回答表!F17="簡易水道事業",IF([10]回答表!X43="○","○",""),"")</f>
        <v/>
      </c>
      <c r="O111" s="98"/>
      <c r="P111" s="98"/>
      <c r="Q111" s="99"/>
      <c r="R111" s="39"/>
      <c r="S111" s="39"/>
      <c r="T111" s="39"/>
      <c r="U111" s="188" t="s">
        <v>46</v>
      </c>
      <c r="V111" s="189"/>
      <c r="W111" s="189"/>
      <c r="X111" s="189"/>
      <c r="Y111" s="189"/>
      <c r="Z111" s="189"/>
      <c r="AA111" s="189"/>
      <c r="AB111" s="189"/>
      <c r="AC111" s="189"/>
      <c r="AD111" s="189"/>
      <c r="AE111" s="189"/>
      <c r="AF111" s="189"/>
      <c r="AG111" s="189"/>
      <c r="AH111" s="189"/>
      <c r="AI111" s="189"/>
      <c r="AJ111" s="198"/>
      <c r="AK111" s="50"/>
      <c r="AL111" s="50"/>
      <c r="AM111" s="106" t="str">
        <f>IF([10]回答表!F17="簡易水道事業",IF([10]回答表!X43="○",[10]回答表!B154,IF([10]回答表!AA43="○",[10]回答表!B201,"")),"")</f>
        <v/>
      </c>
      <c r="AN111" s="107"/>
      <c r="AO111" s="107"/>
      <c r="AP111" s="107"/>
      <c r="AQ111" s="107"/>
      <c r="AR111" s="107"/>
      <c r="AS111" s="107"/>
      <c r="AT111" s="107"/>
      <c r="AU111" s="107"/>
      <c r="AV111" s="107"/>
      <c r="AW111" s="107"/>
      <c r="AX111" s="107"/>
      <c r="AY111" s="107"/>
      <c r="AZ111" s="107"/>
      <c r="BA111" s="107"/>
      <c r="BB111" s="108"/>
      <c r="BC111" s="40"/>
      <c r="BD111" s="35"/>
      <c r="BE111" s="115" t="str">
        <f>IF([10]回答表!F17="簡易水道事業",IF([10]回答表!X43="○",[10]回答表!B190,IF([10]回答表!AA43="○",[10]回答表!B238,"")),"")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81"/>
      <c r="E112" s="181"/>
      <c r="F112" s="181"/>
      <c r="G112" s="181"/>
      <c r="H112" s="181"/>
      <c r="I112" s="181"/>
      <c r="J112" s="181"/>
      <c r="K112" s="181"/>
      <c r="L112" s="181"/>
      <c r="M112" s="181"/>
      <c r="N112" s="100"/>
      <c r="O112" s="101"/>
      <c r="P112" s="101"/>
      <c r="Q112" s="102"/>
      <c r="R112" s="39"/>
      <c r="S112" s="39"/>
      <c r="T112" s="39"/>
      <c r="U112" s="200"/>
      <c r="V112" s="201"/>
      <c r="W112" s="201"/>
      <c r="X112" s="201"/>
      <c r="Y112" s="201"/>
      <c r="Z112" s="201"/>
      <c r="AA112" s="201"/>
      <c r="AB112" s="201"/>
      <c r="AC112" s="201"/>
      <c r="AD112" s="201"/>
      <c r="AE112" s="201"/>
      <c r="AF112" s="201"/>
      <c r="AG112" s="201"/>
      <c r="AH112" s="201"/>
      <c r="AI112" s="201"/>
      <c r="AJ112" s="202"/>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81"/>
      <c r="E113" s="181"/>
      <c r="F113" s="181"/>
      <c r="G113" s="181"/>
      <c r="H113" s="181"/>
      <c r="I113" s="181"/>
      <c r="J113" s="181"/>
      <c r="K113" s="181"/>
      <c r="L113" s="181"/>
      <c r="M113" s="181"/>
      <c r="N113" s="100"/>
      <c r="O113" s="101"/>
      <c r="P113" s="101"/>
      <c r="Q113" s="102"/>
      <c r="R113" s="39"/>
      <c r="S113" s="39"/>
      <c r="T113" s="39"/>
      <c r="U113" s="118" t="str">
        <f>IF([10]回答表!F17="簡易水道事業",IF([10]回答表!X43="○",[10]回答表!Y181,IF([10]回答表!AA43="○",[10]回答表!Y229,"")),"")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81"/>
      <c r="E114" s="181"/>
      <c r="F114" s="181"/>
      <c r="G114" s="181"/>
      <c r="H114" s="181"/>
      <c r="I114" s="181"/>
      <c r="J114" s="181"/>
      <c r="K114" s="181"/>
      <c r="L114" s="181"/>
      <c r="M114" s="181"/>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IF([10]回答表!F17="簡易水道事業",IF([10]回答表!X43="○",[10]回答表!E190,IF([10]回答表!AA43="○",[10]回答表!E238,"")),"")</f>
        <v/>
      </c>
      <c r="BF114" s="83"/>
      <c r="BG114" s="83"/>
      <c r="BH114" s="83"/>
      <c r="BI114" s="82" t="str">
        <f>IF([10]回答表!F17="簡易水道事業",IF([10]回答表!X43="○",[10]回答表!E191,IF([10]回答表!AA43="○",[10]回答表!E239,"")),"")</f>
        <v/>
      </c>
      <c r="BJ114" s="83"/>
      <c r="BK114" s="83"/>
      <c r="BL114" s="83"/>
      <c r="BM114" s="82" t="str">
        <f>IF([10]回答表!F17="簡易水道事業",IF([10]回答表!X43="○",[10]回答表!E192,IF([10]回答表!AA43="○",[10]回答表!E240,"")),"")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88" t="s">
        <v>47</v>
      </c>
      <c r="V116" s="189"/>
      <c r="W116" s="189"/>
      <c r="X116" s="189"/>
      <c r="Y116" s="189"/>
      <c r="Z116" s="189"/>
      <c r="AA116" s="189"/>
      <c r="AB116" s="189"/>
      <c r="AC116" s="189"/>
      <c r="AD116" s="189"/>
      <c r="AE116" s="189"/>
      <c r="AF116" s="189"/>
      <c r="AG116" s="189"/>
      <c r="AH116" s="189"/>
      <c r="AI116" s="189"/>
      <c r="AJ116" s="198"/>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86" t="s">
        <v>26</v>
      </c>
      <c r="E117" s="181"/>
      <c r="F117" s="181"/>
      <c r="G117" s="181"/>
      <c r="H117" s="181"/>
      <c r="I117" s="181"/>
      <c r="J117" s="181"/>
      <c r="K117" s="181"/>
      <c r="L117" s="181"/>
      <c r="M117" s="182"/>
      <c r="N117" s="97" t="str">
        <f>IF([10]回答表!F17="簡易水道事業",IF([10]回答表!AA43="○","○",""),"")</f>
        <v/>
      </c>
      <c r="O117" s="98"/>
      <c r="P117" s="98"/>
      <c r="Q117" s="99"/>
      <c r="R117" s="39"/>
      <c r="S117" s="39"/>
      <c r="T117" s="39"/>
      <c r="U117" s="200"/>
      <c r="V117" s="201"/>
      <c r="W117" s="201"/>
      <c r="X117" s="201"/>
      <c r="Y117" s="201"/>
      <c r="Z117" s="201"/>
      <c r="AA117" s="201"/>
      <c r="AB117" s="201"/>
      <c r="AC117" s="201"/>
      <c r="AD117" s="201"/>
      <c r="AE117" s="201"/>
      <c r="AF117" s="201"/>
      <c r="AG117" s="201"/>
      <c r="AH117" s="201"/>
      <c r="AI117" s="201"/>
      <c r="AJ117" s="202"/>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81"/>
      <c r="E118" s="181"/>
      <c r="F118" s="181"/>
      <c r="G118" s="181"/>
      <c r="H118" s="181"/>
      <c r="I118" s="181"/>
      <c r="J118" s="181"/>
      <c r="K118" s="181"/>
      <c r="L118" s="181"/>
      <c r="M118" s="182"/>
      <c r="N118" s="100"/>
      <c r="O118" s="101"/>
      <c r="P118" s="101"/>
      <c r="Q118" s="102"/>
      <c r="R118" s="39"/>
      <c r="S118" s="39"/>
      <c r="T118" s="39"/>
      <c r="U118" s="118" t="str">
        <f>IF([10]回答表!F17="簡易水道事業",IF([10]回答表!X43="○",[10]回答表!Y182,IF([10]回答表!AA43="○",[10]回答表!Y230,"")),"")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81"/>
      <c r="E119" s="181"/>
      <c r="F119" s="181"/>
      <c r="G119" s="181"/>
      <c r="H119" s="181"/>
      <c r="I119" s="181"/>
      <c r="J119" s="181"/>
      <c r="K119" s="181"/>
      <c r="L119" s="181"/>
      <c r="M119" s="182"/>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81"/>
      <c r="E120" s="181"/>
      <c r="F120" s="181"/>
      <c r="G120" s="181"/>
      <c r="H120" s="181"/>
      <c r="I120" s="181"/>
      <c r="J120" s="181"/>
      <c r="K120" s="181"/>
      <c r="L120" s="181"/>
      <c r="M120" s="182"/>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81" t="s">
        <v>34</v>
      </c>
      <c r="E123" s="181"/>
      <c r="F123" s="181"/>
      <c r="G123" s="181"/>
      <c r="H123" s="181"/>
      <c r="I123" s="181"/>
      <c r="J123" s="181"/>
      <c r="K123" s="181"/>
      <c r="L123" s="181"/>
      <c r="M123" s="182"/>
      <c r="N123" s="97" t="str">
        <f>IF([10]回答表!F17="簡易水道事業",IF([10]回答表!AD43="○","○",""),"")</f>
        <v/>
      </c>
      <c r="O123" s="98"/>
      <c r="P123" s="98"/>
      <c r="Q123" s="99"/>
      <c r="R123" s="39"/>
      <c r="S123" s="39"/>
      <c r="T123" s="39"/>
      <c r="U123" s="106" t="str">
        <f>IF([10]回答表!F17="簡易水道事業",IF([10]回答表!AD43="○",[10]回答表!B249,""),"")</f>
        <v/>
      </c>
      <c r="V123" s="107"/>
      <c r="W123" s="107"/>
      <c r="X123" s="107"/>
      <c r="Y123" s="107"/>
      <c r="Z123" s="107"/>
      <c r="AA123" s="107"/>
      <c r="AB123" s="107"/>
      <c r="AC123" s="107"/>
      <c r="AD123" s="107"/>
      <c r="AE123" s="107"/>
      <c r="AF123" s="107"/>
      <c r="AG123" s="107"/>
      <c r="AH123" s="107"/>
      <c r="AI123" s="107"/>
      <c r="AJ123" s="108"/>
      <c r="AK123" s="56"/>
      <c r="AL123" s="56"/>
      <c r="AM123" s="106" t="str">
        <f>IF([10]回答表!F17="簡易水道事業",IF([10]回答表!AD43="○",[10]回答表!B255,""),"")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81"/>
      <c r="E124" s="181"/>
      <c r="F124" s="181"/>
      <c r="G124" s="181"/>
      <c r="H124" s="181"/>
      <c r="I124" s="181"/>
      <c r="J124" s="181"/>
      <c r="K124" s="181"/>
      <c r="L124" s="181"/>
      <c r="M124" s="182"/>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81"/>
      <c r="E125" s="181"/>
      <c r="F125" s="181"/>
      <c r="G125" s="181"/>
      <c r="H125" s="181"/>
      <c r="I125" s="181"/>
      <c r="J125" s="181"/>
      <c r="K125" s="181"/>
      <c r="L125" s="181"/>
      <c r="M125" s="182"/>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81"/>
      <c r="E126" s="181"/>
      <c r="F126" s="181"/>
      <c r="G126" s="181"/>
      <c r="H126" s="181"/>
      <c r="I126" s="181"/>
      <c r="J126" s="181"/>
      <c r="K126" s="181"/>
      <c r="L126" s="181"/>
      <c r="M126" s="182"/>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62"/>
      <c r="AS129" s="162"/>
      <c r="AT129" s="162"/>
      <c r="AU129" s="162"/>
      <c r="AV129" s="162"/>
      <c r="AW129" s="162"/>
      <c r="AX129" s="162"/>
      <c r="AY129" s="162"/>
      <c r="AZ129" s="162"/>
      <c r="BA129" s="162"/>
      <c r="BB129" s="162"/>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87"/>
      <c r="AS130" s="187"/>
      <c r="AT130" s="187"/>
      <c r="AU130" s="187"/>
      <c r="AV130" s="187"/>
      <c r="AW130" s="187"/>
      <c r="AX130" s="187"/>
      <c r="AY130" s="187"/>
      <c r="AZ130" s="187"/>
      <c r="BA130" s="187"/>
      <c r="BB130" s="187"/>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81" t="s">
        <v>18</v>
      </c>
      <c r="E135" s="181"/>
      <c r="F135" s="181"/>
      <c r="G135" s="181"/>
      <c r="H135" s="181"/>
      <c r="I135" s="181"/>
      <c r="J135" s="181"/>
      <c r="K135" s="181"/>
      <c r="L135" s="181"/>
      <c r="M135" s="181"/>
      <c r="N135" s="97" t="str">
        <f>IF([10]回答表!F17="下水道事業",IF([10]回答表!X43="○","○",""),"")</f>
        <v/>
      </c>
      <c r="O135" s="98"/>
      <c r="P135" s="98"/>
      <c r="Q135" s="99"/>
      <c r="R135" s="39"/>
      <c r="S135" s="39"/>
      <c r="T135" s="39"/>
      <c r="U135" s="188" t="s">
        <v>49</v>
      </c>
      <c r="V135" s="189"/>
      <c r="W135" s="189"/>
      <c r="X135" s="189"/>
      <c r="Y135" s="189"/>
      <c r="Z135" s="189"/>
      <c r="AA135" s="189"/>
      <c r="AB135" s="189"/>
      <c r="AC135" s="188" t="s">
        <v>50</v>
      </c>
      <c r="AD135" s="189"/>
      <c r="AE135" s="189"/>
      <c r="AF135" s="189"/>
      <c r="AG135" s="189"/>
      <c r="AH135" s="189"/>
      <c r="AI135" s="189"/>
      <c r="AJ135" s="198"/>
      <c r="AK135" s="50"/>
      <c r="AL135" s="50"/>
      <c r="AM135" s="106" t="str">
        <f>IF([10]回答表!F17="下水道事業",IF([10]回答表!X43="○",[10]回答表!B154,IF([10]回答表!AA43="○",[10]回答表!B201,"")),"")</f>
        <v/>
      </c>
      <c r="AN135" s="107"/>
      <c r="AO135" s="107"/>
      <c r="AP135" s="107"/>
      <c r="AQ135" s="107"/>
      <c r="AR135" s="107"/>
      <c r="AS135" s="107"/>
      <c r="AT135" s="107"/>
      <c r="AU135" s="107"/>
      <c r="AV135" s="107"/>
      <c r="AW135" s="107"/>
      <c r="AX135" s="107"/>
      <c r="AY135" s="107"/>
      <c r="AZ135" s="107"/>
      <c r="BA135" s="107"/>
      <c r="BB135" s="108"/>
      <c r="BC135" s="40"/>
      <c r="BD135" s="35"/>
      <c r="BE135" s="115" t="str">
        <f>IF([10]回答表!F17="下水道事業",IF([10]回答表!X43="○",[10]回答表!B190,IF([10]回答表!AA43="○",[10]回答表!B238,"")),"")</f>
        <v/>
      </c>
      <c r="BF135" s="116"/>
      <c r="BG135" s="116"/>
      <c r="BH135" s="116"/>
      <c r="BI135" s="115"/>
      <c r="BJ135" s="116"/>
      <c r="BK135" s="116"/>
      <c r="BL135" s="116"/>
      <c r="BM135" s="115"/>
      <c r="BN135" s="116"/>
      <c r="BO135" s="116"/>
      <c r="BP135" s="117"/>
      <c r="BQ135" s="38"/>
    </row>
    <row r="136" spans="3:69" ht="19.350000000000001" customHeight="1" x14ac:dyDescent="0.4">
      <c r="C136" s="33"/>
      <c r="D136" s="181"/>
      <c r="E136" s="181"/>
      <c r="F136" s="181"/>
      <c r="G136" s="181"/>
      <c r="H136" s="181"/>
      <c r="I136" s="181"/>
      <c r="J136" s="181"/>
      <c r="K136" s="181"/>
      <c r="L136" s="181"/>
      <c r="M136" s="181"/>
      <c r="N136" s="100"/>
      <c r="O136" s="101"/>
      <c r="P136" s="101"/>
      <c r="Q136" s="102"/>
      <c r="R136" s="39"/>
      <c r="S136" s="39"/>
      <c r="T136" s="39"/>
      <c r="U136" s="190"/>
      <c r="V136" s="191"/>
      <c r="W136" s="191"/>
      <c r="X136" s="191"/>
      <c r="Y136" s="191"/>
      <c r="Z136" s="191"/>
      <c r="AA136" s="191"/>
      <c r="AB136" s="191"/>
      <c r="AC136" s="190"/>
      <c r="AD136" s="191"/>
      <c r="AE136" s="191"/>
      <c r="AF136" s="191"/>
      <c r="AG136" s="191"/>
      <c r="AH136" s="191"/>
      <c r="AI136" s="191"/>
      <c r="AJ136" s="199"/>
      <c r="AK136" s="50"/>
      <c r="AL136" s="50"/>
      <c r="AM136" s="109"/>
      <c r="AN136" s="110"/>
      <c r="AO136" s="110"/>
      <c r="AP136" s="110"/>
      <c r="AQ136" s="110"/>
      <c r="AR136" s="110"/>
      <c r="AS136" s="110"/>
      <c r="AT136" s="110"/>
      <c r="AU136" s="110"/>
      <c r="AV136" s="110"/>
      <c r="AW136" s="110"/>
      <c r="AX136" s="110"/>
      <c r="AY136" s="110"/>
      <c r="AZ136" s="110"/>
      <c r="BA136" s="110"/>
      <c r="BB136" s="111"/>
      <c r="BC136" s="40"/>
      <c r="BD136" s="35"/>
      <c r="BE136" s="82"/>
      <c r="BF136" s="83"/>
      <c r="BG136" s="83"/>
      <c r="BH136" s="83"/>
      <c r="BI136" s="82"/>
      <c r="BJ136" s="83"/>
      <c r="BK136" s="83"/>
      <c r="BL136" s="83"/>
      <c r="BM136" s="82"/>
      <c r="BN136" s="83"/>
      <c r="BO136" s="83"/>
      <c r="BP136" s="86"/>
      <c r="BQ136" s="38"/>
    </row>
    <row r="137" spans="3:69" ht="15.6" customHeight="1" x14ac:dyDescent="0.4">
      <c r="C137" s="33"/>
      <c r="D137" s="181"/>
      <c r="E137" s="181"/>
      <c r="F137" s="181"/>
      <c r="G137" s="181"/>
      <c r="H137" s="181"/>
      <c r="I137" s="181"/>
      <c r="J137" s="181"/>
      <c r="K137" s="181"/>
      <c r="L137" s="181"/>
      <c r="M137" s="181"/>
      <c r="N137" s="100"/>
      <c r="O137" s="101"/>
      <c r="P137" s="101"/>
      <c r="Q137" s="102"/>
      <c r="R137" s="39"/>
      <c r="S137" s="39"/>
      <c r="T137" s="39"/>
      <c r="U137" s="118" t="str">
        <f>IF([10]回答表!F17="下水道事業",IF([10]回答表!X43="○",[10]回答表!Y184,IF([10]回答表!AA43="○",[10]回答表!Y232,"")),"")</f>
        <v/>
      </c>
      <c r="V137" s="119"/>
      <c r="W137" s="119"/>
      <c r="X137" s="119"/>
      <c r="Y137" s="119"/>
      <c r="Z137" s="119"/>
      <c r="AA137" s="119"/>
      <c r="AB137" s="120"/>
      <c r="AC137" s="118" t="str">
        <f>IF([10]回答表!F17="下水道事業",IF([10]回答表!X43="○",[10]回答表!Y185,IF([10]回答表!AA43="○",[10]回答表!Y233,"")),"")</f>
        <v/>
      </c>
      <c r="AD137" s="119"/>
      <c r="AE137" s="119"/>
      <c r="AF137" s="119"/>
      <c r="AG137" s="119"/>
      <c r="AH137" s="119"/>
      <c r="AI137" s="119"/>
      <c r="AJ137" s="120"/>
      <c r="AK137" s="50"/>
      <c r="AL137" s="50"/>
      <c r="AM137" s="109"/>
      <c r="AN137" s="110"/>
      <c r="AO137" s="110"/>
      <c r="AP137" s="110"/>
      <c r="AQ137" s="110"/>
      <c r="AR137" s="110"/>
      <c r="AS137" s="110"/>
      <c r="AT137" s="110"/>
      <c r="AU137" s="110"/>
      <c r="AV137" s="110"/>
      <c r="AW137" s="110"/>
      <c r="AX137" s="110"/>
      <c r="AY137" s="110"/>
      <c r="AZ137" s="110"/>
      <c r="BA137" s="110"/>
      <c r="BB137" s="111"/>
      <c r="BC137" s="40"/>
      <c r="BD137" s="35"/>
      <c r="BE137" s="82"/>
      <c r="BF137" s="83"/>
      <c r="BG137" s="83"/>
      <c r="BH137" s="83"/>
      <c r="BI137" s="82"/>
      <c r="BJ137" s="83"/>
      <c r="BK137" s="83"/>
      <c r="BL137" s="83"/>
      <c r="BM137" s="82"/>
      <c r="BN137" s="83"/>
      <c r="BO137" s="83"/>
      <c r="BP137" s="86"/>
      <c r="BQ137" s="38"/>
    </row>
    <row r="138" spans="3:69" ht="15.6" customHeight="1" x14ac:dyDescent="0.4">
      <c r="C138" s="33"/>
      <c r="D138" s="181"/>
      <c r="E138" s="181"/>
      <c r="F138" s="181"/>
      <c r="G138" s="181"/>
      <c r="H138" s="181"/>
      <c r="I138" s="181"/>
      <c r="J138" s="181"/>
      <c r="K138" s="181"/>
      <c r="L138" s="181"/>
      <c r="M138" s="181"/>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109"/>
      <c r="AN138" s="110"/>
      <c r="AO138" s="110"/>
      <c r="AP138" s="110"/>
      <c r="AQ138" s="110"/>
      <c r="AR138" s="110"/>
      <c r="AS138" s="110"/>
      <c r="AT138" s="110"/>
      <c r="AU138" s="110"/>
      <c r="AV138" s="110"/>
      <c r="AW138" s="110"/>
      <c r="AX138" s="110"/>
      <c r="AY138" s="110"/>
      <c r="AZ138" s="110"/>
      <c r="BA138" s="110"/>
      <c r="BB138" s="111"/>
      <c r="BC138" s="40"/>
      <c r="BD138" s="35"/>
      <c r="BE138" s="82" t="str">
        <f>IF([10]回答表!F17="下水道事業",IF([10]回答表!X43="○",[10]回答表!E190,IF([10]回答表!AA43="○",[10]回答表!E238,"")),"")</f>
        <v/>
      </c>
      <c r="BF138" s="83"/>
      <c r="BG138" s="83"/>
      <c r="BH138" s="83"/>
      <c r="BI138" s="82" t="str">
        <f>IF([10]回答表!F17="下水道事業",IF([10]回答表!X43="○",[10]回答表!E191,IF([10]回答表!AA43="○",[10]回答表!E239,"")),"")</f>
        <v/>
      </c>
      <c r="BJ138" s="83"/>
      <c r="BK138" s="83"/>
      <c r="BL138" s="83"/>
      <c r="BM138" s="82" t="str">
        <f>IF([10]回答表!F17="下水道事業",IF([10]回答表!X43="○",[10]回答表!E192,IF([10]回答表!AA43="○",[10]回答表!E240,"")),"")</f>
        <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109"/>
      <c r="AN139" s="110"/>
      <c r="AO139" s="110"/>
      <c r="AP139" s="110"/>
      <c r="AQ139" s="110"/>
      <c r="AR139" s="110"/>
      <c r="AS139" s="110"/>
      <c r="AT139" s="110"/>
      <c r="AU139" s="110"/>
      <c r="AV139" s="110"/>
      <c r="AW139" s="110"/>
      <c r="AX139" s="110"/>
      <c r="AY139" s="110"/>
      <c r="AZ139" s="110"/>
      <c r="BA139" s="110"/>
      <c r="BB139" s="111"/>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88" t="s">
        <v>51</v>
      </c>
      <c r="V140" s="189"/>
      <c r="W140" s="189"/>
      <c r="X140" s="189"/>
      <c r="Y140" s="189"/>
      <c r="Z140" s="189"/>
      <c r="AA140" s="189"/>
      <c r="AB140" s="189"/>
      <c r="AC140" s="192" t="s">
        <v>52</v>
      </c>
      <c r="AD140" s="193"/>
      <c r="AE140" s="193"/>
      <c r="AF140" s="193"/>
      <c r="AG140" s="193"/>
      <c r="AH140" s="193"/>
      <c r="AI140" s="193"/>
      <c r="AJ140" s="194"/>
      <c r="AK140" s="50"/>
      <c r="AL140" s="50"/>
      <c r="AM140" s="109"/>
      <c r="AN140" s="110"/>
      <c r="AO140" s="110"/>
      <c r="AP140" s="110"/>
      <c r="AQ140" s="110"/>
      <c r="AR140" s="110"/>
      <c r="AS140" s="110"/>
      <c r="AT140" s="110"/>
      <c r="AU140" s="110"/>
      <c r="AV140" s="110"/>
      <c r="AW140" s="110"/>
      <c r="AX140" s="110"/>
      <c r="AY140" s="110"/>
      <c r="AZ140" s="110"/>
      <c r="BA140" s="110"/>
      <c r="BB140" s="111"/>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86" t="s">
        <v>26</v>
      </c>
      <c r="E141" s="181"/>
      <c r="F141" s="181"/>
      <c r="G141" s="181"/>
      <c r="H141" s="181"/>
      <c r="I141" s="181"/>
      <c r="J141" s="181"/>
      <c r="K141" s="181"/>
      <c r="L141" s="181"/>
      <c r="M141" s="182"/>
      <c r="N141" s="97" t="str">
        <f>IF([10]回答表!F17="下水道事業",IF([10]回答表!AA43="○","○",""),"")</f>
        <v/>
      </c>
      <c r="O141" s="98"/>
      <c r="P141" s="98"/>
      <c r="Q141" s="99"/>
      <c r="R141" s="39"/>
      <c r="S141" s="39"/>
      <c r="T141" s="39"/>
      <c r="U141" s="190"/>
      <c r="V141" s="191"/>
      <c r="W141" s="191"/>
      <c r="X141" s="191"/>
      <c r="Y141" s="191"/>
      <c r="Z141" s="191"/>
      <c r="AA141" s="191"/>
      <c r="AB141" s="191"/>
      <c r="AC141" s="195"/>
      <c r="AD141" s="196"/>
      <c r="AE141" s="196"/>
      <c r="AF141" s="196"/>
      <c r="AG141" s="196"/>
      <c r="AH141" s="196"/>
      <c r="AI141" s="196"/>
      <c r="AJ141" s="197"/>
      <c r="AK141" s="50"/>
      <c r="AL141" s="50"/>
      <c r="AM141" s="109"/>
      <c r="AN141" s="110"/>
      <c r="AO141" s="110"/>
      <c r="AP141" s="110"/>
      <c r="AQ141" s="110"/>
      <c r="AR141" s="110"/>
      <c r="AS141" s="110"/>
      <c r="AT141" s="110"/>
      <c r="AU141" s="110"/>
      <c r="AV141" s="110"/>
      <c r="AW141" s="110"/>
      <c r="AX141" s="110"/>
      <c r="AY141" s="110"/>
      <c r="AZ141" s="110"/>
      <c r="BA141" s="110"/>
      <c r="BB141" s="111"/>
      <c r="BC141" s="40"/>
      <c r="BD141" s="54"/>
      <c r="BE141" s="82"/>
      <c r="BF141" s="83"/>
      <c r="BG141" s="83"/>
      <c r="BH141" s="83"/>
      <c r="BI141" s="82"/>
      <c r="BJ141" s="83"/>
      <c r="BK141" s="83"/>
      <c r="BL141" s="83"/>
      <c r="BM141" s="82"/>
      <c r="BN141" s="83"/>
      <c r="BO141" s="83"/>
      <c r="BP141" s="86"/>
      <c r="BQ141" s="38"/>
    </row>
    <row r="142" spans="3:69" ht="15.6" customHeight="1" x14ac:dyDescent="0.4">
      <c r="C142" s="33"/>
      <c r="D142" s="181"/>
      <c r="E142" s="181"/>
      <c r="F142" s="181"/>
      <c r="G142" s="181"/>
      <c r="H142" s="181"/>
      <c r="I142" s="181"/>
      <c r="J142" s="181"/>
      <c r="K142" s="181"/>
      <c r="L142" s="181"/>
      <c r="M142" s="182"/>
      <c r="N142" s="100"/>
      <c r="O142" s="101"/>
      <c r="P142" s="101"/>
      <c r="Q142" s="102"/>
      <c r="R142" s="39"/>
      <c r="S142" s="39"/>
      <c r="T142" s="39"/>
      <c r="U142" s="118" t="str">
        <f>IF([10]回答表!F17="下水道事業",IF([10]回答表!X43="○",[10]回答表!Y186,IF([10]回答表!AA43="○",[10]回答表!Y234,"")),"")</f>
        <v/>
      </c>
      <c r="V142" s="119"/>
      <c r="W142" s="119"/>
      <c r="X142" s="119"/>
      <c r="Y142" s="119"/>
      <c r="Z142" s="119"/>
      <c r="AA142" s="119"/>
      <c r="AB142" s="120"/>
      <c r="AC142" s="118" t="str">
        <f>IF([10]回答表!F17="下水道事業",IF([10]回答表!X43="○",[10]回答表!Y187,IF([10]回答表!AA43="○",[10]回答表!Y235,"")),"")</f>
        <v/>
      </c>
      <c r="AD142" s="119"/>
      <c r="AE142" s="119"/>
      <c r="AF142" s="119"/>
      <c r="AG142" s="119"/>
      <c r="AH142" s="119"/>
      <c r="AI142" s="119"/>
      <c r="AJ142" s="120"/>
      <c r="AK142" s="50"/>
      <c r="AL142" s="50"/>
      <c r="AM142" s="109"/>
      <c r="AN142" s="110"/>
      <c r="AO142" s="110"/>
      <c r="AP142" s="110"/>
      <c r="AQ142" s="110"/>
      <c r="AR142" s="110"/>
      <c r="AS142" s="110"/>
      <c r="AT142" s="110"/>
      <c r="AU142" s="110"/>
      <c r="AV142" s="110"/>
      <c r="AW142" s="110"/>
      <c r="AX142" s="110"/>
      <c r="AY142" s="110"/>
      <c r="AZ142" s="110"/>
      <c r="BA142" s="110"/>
      <c r="BB142" s="111"/>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81"/>
      <c r="E143" s="181"/>
      <c r="F143" s="181"/>
      <c r="G143" s="181"/>
      <c r="H143" s="181"/>
      <c r="I143" s="181"/>
      <c r="J143" s="181"/>
      <c r="K143" s="181"/>
      <c r="L143" s="181"/>
      <c r="M143" s="182"/>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109"/>
      <c r="AN143" s="110"/>
      <c r="AO143" s="110"/>
      <c r="AP143" s="110"/>
      <c r="AQ143" s="110"/>
      <c r="AR143" s="110"/>
      <c r="AS143" s="110"/>
      <c r="AT143" s="110"/>
      <c r="AU143" s="110"/>
      <c r="AV143" s="110"/>
      <c r="AW143" s="110"/>
      <c r="AX143" s="110"/>
      <c r="AY143" s="110"/>
      <c r="AZ143" s="110"/>
      <c r="BA143" s="110"/>
      <c r="BB143" s="111"/>
      <c r="BC143" s="40"/>
      <c r="BD143" s="54"/>
      <c r="BE143" s="82"/>
      <c r="BF143" s="83"/>
      <c r="BG143" s="83"/>
      <c r="BH143" s="83"/>
      <c r="BI143" s="82"/>
      <c r="BJ143" s="83"/>
      <c r="BK143" s="83"/>
      <c r="BL143" s="83"/>
      <c r="BM143" s="82"/>
      <c r="BN143" s="83"/>
      <c r="BO143" s="83"/>
      <c r="BP143" s="86"/>
      <c r="BQ143" s="38"/>
    </row>
    <row r="144" spans="3:69" ht="15.6" customHeight="1" x14ac:dyDescent="0.4">
      <c r="C144" s="33"/>
      <c r="D144" s="181"/>
      <c r="E144" s="181"/>
      <c r="F144" s="181"/>
      <c r="G144" s="181"/>
      <c r="H144" s="181"/>
      <c r="I144" s="181"/>
      <c r="J144" s="181"/>
      <c r="K144" s="181"/>
      <c r="L144" s="181"/>
      <c r="M144" s="182"/>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112"/>
      <c r="AN144" s="113"/>
      <c r="AO144" s="113"/>
      <c r="AP144" s="113"/>
      <c r="AQ144" s="113"/>
      <c r="AR144" s="113"/>
      <c r="AS144" s="113"/>
      <c r="AT144" s="113"/>
      <c r="AU144" s="113"/>
      <c r="AV144" s="113"/>
      <c r="AW144" s="113"/>
      <c r="AX144" s="113"/>
      <c r="AY144" s="113"/>
      <c r="AZ144" s="113"/>
      <c r="BA144" s="113"/>
      <c r="BB144" s="114"/>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81" t="s">
        <v>34</v>
      </c>
      <c r="E147" s="181"/>
      <c r="F147" s="181"/>
      <c r="G147" s="181"/>
      <c r="H147" s="181"/>
      <c r="I147" s="181"/>
      <c r="J147" s="181"/>
      <c r="K147" s="181"/>
      <c r="L147" s="181"/>
      <c r="M147" s="182"/>
      <c r="N147" s="97" t="str">
        <f>IF([10]回答表!F17="下水道事業",IF([10]回答表!AD43="○","○",""),"")</f>
        <v/>
      </c>
      <c r="O147" s="98"/>
      <c r="P147" s="98"/>
      <c r="Q147" s="99"/>
      <c r="R147" s="39"/>
      <c r="S147" s="39"/>
      <c r="T147" s="39"/>
      <c r="U147" s="106" t="str">
        <f>IF([10]回答表!F17="下水道事業",IF([10]回答表!AD43="○",[10]回答表!B249,""),"")</f>
        <v/>
      </c>
      <c r="V147" s="107"/>
      <c r="W147" s="107"/>
      <c r="X147" s="107"/>
      <c r="Y147" s="107"/>
      <c r="Z147" s="107"/>
      <c r="AA147" s="107"/>
      <c r="AB147" s="107"/>
      <c r="AC147" s="107"/>
      <c r="AD147" s="107"/>
      <c r="AE147" s="107"/>
      <c r="AF147" s="107"/>
      <c r="AG147" s="107"/>
      <c r="AH147" s="107"/>
      <c r="AI147" s="107"/>
      <c r="AJ147" s="108"/>
      <c r="AK147" s="56"/>
      <c r="AL147" s="56"/>
      <c r="AM147" s="106" t="str">
        <f>IF([10]回答表!F17="下水道事業",IF([10]回答表!AD43="○",[10]回答表!B255,""),"")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81"/>
      <c r="E148" s="181"/>
      <c r="F148" s="181"/>
      <c r="G148" s="181"/>
      <c r="H148" s="181"/>
      <c r="I148" s="181"/>
      <c r="J148" s="181"/>
      <c r="K148" s="181"/>
      <c r="L148" s="181"/>
      <c r="M148" s="182"/>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81"/>
      <c r="E149" s="181"/>
      <c r="F149" s="181"/>
      <c r="G149" s="181"/>
      <c r="H149" s="181"/>
      <c r="I149" s="181"/>
      <c r="J149" s="181"/>
      <c r="K149" s="181"/>
      <c r="L149" s="181"/>
      <c r="M149" s="182"/>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81"/>
      <c r="E150" s="181"/>
      <c r="F150" s="181"/>
      <c r="G150" s="181"/>
      <c r="H150" s="181"/>
      <c r="I150" s="181"/>
      <c r="J150" s="181"/>
      <c r="K150" s="181"/>
      <c r="L150" s="181"/>
      <c r="M150" s="182"/>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62"/>
      <c r="AS153" s="162"/>
      <c r="AT153" s="162"/>
      <c r="AU153" s="162"/>
      <c r="AV153" s="162"/>
      <c r="AW153" s="162"/>
      <c r="AX153" s="162"/>
      <c r="AY153" s="162"/>
      <c r="AZ153" s="162"/>
      <c r="BA153" s="162"/>
      <c r="BB153" s="162"/>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87"/>
      <c r="AS154" s="187"/>
      <c r="AT154" s="187"/>
      <c r="AU154" s="187"/>
      <c r="AV154" s="187"/>
      <c r="AW154" s="187"/>
      <c r="AX154" s="187"/>
      <c r="AY154" s="187"/>
      <c r="AZ154" s="187"/>
      <c r="BA154" s="187"/>
      <c r="BB154" s="187"/>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81" t="s">
        <v>18</v>
      </c>
      <c r="E159" s="181"/>
      <c r="F159" s="181"/>
      <c r="G159" s="181"/>
      <c r="H159" s="181"/>
      <c r="I159" s="181"/>
      <c r="J159" s="181"/>
      <c r="K159" s="181"/>
      <c r="L159" s="181"/>
      <c r="M159" s="181"/>
      <c r="N159" s="97" t="str">
        <f>IF([10]回答表!BD17="○",IF([10]回答表!X43="○","○",""),"")</f>
        <v/>
      </c>
      <c r="O159" s="98"/>
      <c r="P159" s="98"/>
      <c r="Q159" s="99"/>
      <c r="R159" s="39"/>
      <c r="S159" s="39"/>
      <c r="T159" s="39"/>
      <c r="U159" s="106" t="str">
        <f>IF([10]回答表!BD17="○",IF([10]回答表!X43="○",[10]回答表!B154,IF([10]回答表!AA43="○",[10]回答表!B201,"")),"")</f>
        <v/>
      </c>
      <c r="V159" s="107"/>
      <c r="W159" s="107"/>
      <c r="X159" s="107"/>
      <c r="Y159" s="107"/>
      <c r="Z159" s="107"/>
      <c r="AA159" s="107"/>
      <c r="AB159" s="107"/>
      <c r="AC159" s="107"/>
      <c r="AD159" s="107"/>
      <c r="AE159" s="107"/>
      <c r="AF159" s="107"/>
      <c r="AG159" s="107"/>
      <c r="AH159" s="107"/>
      <c r="AI159" s="107"/>
      <c r="AJ159" s="108"/>
      <c r="AK159" s="50"/>
      <c r="AL159" s="50"/>
      <c r="AM159" s="115" t="str">
        <f>IF([10]回答表!BD17="○",IF([10]回答表!X43="○",[10]回答表!B190,IF([10]回答表!AA43="○",[10]回答表!B238,"")),"")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81"/>
      <c r="E160" s="181"/>
      <c r="F160" s="181"/>
      <c r="G160" s="181"/>
      <c r="H160" s="181"/>
      <c r="I160" s="181"/>
      <c r="J160" s="181"/>
      <c r="K160" s="181"/>
      <c r="L160" s="181"/>
      <c r="M160" s="181"/>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81"/>
      <c r="E161" s="181"/>
      <c r="F161" s="181"/>
      <c r="G161" s="181"/>
      <c r="H161" s="181"/>
      <c r="I161" s="181"/>
      <c r="J161" s="181"/>
      <c r="K161" s="181"/>
      <c r="L161" s="181"/>
      <c r="M161" s="181"/>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81"/>
      <c r="E162" s="181"/>
      <c r="F162" s="181"/>
      <c r="G162" s="181"/>
      <c r="H162" s="181"/>
      <c r="I162" s="181"/>
      <c r="J162" s="181"/>
      <c r="K162" s="181"/>
      <c r="L162" s="181"/>
      <c r="M162" s="181"/>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IF([10]回答表!BD17="○",IF([10]回答表!X43="○",[10]回答表!E190,IF([10]回答表!AA43="○",[10]回答表!E238,"")),"")</f>
        <v/>
      </c>
      <c r="AN162" s="83"/>
      <c r="AO162" s="83"/>
      <c r="AP162" s="83"/>
      <c r="AQ162" s="82" t="str">
        <f>IF([10]回答表!BD17="○",IF([10]回答表!X43="○",[10]回答表!E191,IF([10]回答表!AA43="○",[10]回答表!E239,"")),"")</f>
        <v/>
      </c>
      <c r="AR162" s="83"/>
      <c r="AS162" s="83"/>
      <c r="AT162" s="83"/>
      <c r="AU162" s="82" t="str">
        <f>IF([10]回答表!BD17="○",IF([10]回答表!X43="○",[10]回答表!E192,IF([10]回答表!AA43="○",[10]回答表!E240,"")),"")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86" t="s">
        <v>26</v>
      </c>
      <c r="E165" s="181"/>
      <c r="F165" s="181"/>
      <c r="G165" s="181"/>
      <c r="H165" s="181"/>
      <c r="I165" s="181"/>
      <c r="J165" s="181"/>
      <c r="K165" s="181"/>
      <c r="L165" s="181"/>
      <c r="M165" s="182"/>
      <c r="N165" s="97" t="str">
        <f>IF([10]回答表!BD17="○",IF([10]回答表!AA43="○","○",""),"")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81"/>
      <c r="E166" s="181"/>
      <c r="F166" s="181"/>
      <c r="G166" s="181"/>
      <c r="H166" s="181"/>
      <c r="I166" s="181"/>
      <c r="J166" s="181"/>
      <c r="K166" s="181"/>
      <c r="L166" s="181"/>
      <c r="M166" s="182"/>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81"/>
      <c r="E167" s="181"/>
      <c r="F167" s="181"/>
      <c r="G167" s="181"/>
      <c r="H167" s="181"/>
      <c r="I167" s="181"/>
      <c r="J167" s="181"/>
      <c r="K167" s="181"/>
      <c r="L167" s="181"/>
      <c r="M167" s="182"/>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81"/>
      <c r="E168" s="181"/>
      <c r="F168" s="181"/>
      <c r="G168" s="181"/>
      <c r="H168" s="181"/>
      <c r="I168" s="181"/>
      <c r="J168" s="181"/>
      <c r="K168" s="181"/>
      <c r="L168" s="181"/>
      <c r="M168" s="182"/>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81" t="s">
        <v>34</v>
      </c>
      <c r="E171" s="181"/>
      <c r="F171" s="181"/>
      <c r="G171" s="181"/>
      <c r="H171" s="181"/>
      <c r="I171" s="181"/>
      <c r="J171" s="181"/>
      <c r="K171" s="181"/>
      <c r="L171" s="181"/>
      <c r="M171" s="182"/>
      <c r="N171" s="97" t="str">
        <f>IF([10]回答表!BD17="○",IF([10]回答表!AD43="○","○",""),"")</f>
        <v/>
      </c>
      <c r="O171" s="98"/>
      <c r="P171" s="98"/>
      <c r="Q171" s="99"/>
      <c r="R171" s="39"/>
      <c r="S171" s="39"/>
      <c r="T171" s="39"/>
      <c r="U171" s="106" t="str">
        <f>IF([10]回答表!BD17="○",IF([10]回答表!AD43="○",[10]回答表!B249,""),"")</f>
        <v/>
      </c>
      <c r="V171" s="107"/>
      <c r="W171" s="107"/>
      <c r="X171" s="107"/>
      <c r="Y171" s="107"/>
      <c r="Z171" s="107"/>
      <c r="AA171" s="107"/>
      <c r="AB171" s="107"/>
      <c r="AC171" s="107"/>
      <c r="AD171" s="107"/>
      <c r="AE171" s="107"/>
      <c r="AF171" s="107"/>
      <c r="AG171" s="107"/>
      <c r="AH171" s="107"/>
      <c r="AI171" s="107"/>
      <c r="AJ171" s="108"/>
      <c r="AK171" s="56"/>
      <c r="AL171" s="56"/>
      <c r="AM171" s="106" t="str">
        <f>IF([10]回答表!BD17="○",IF([10]回答表!AD43="○",[10]回答表!B255,""),"")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81"/>
      <c r="E172" s="181"/>
      <c r="F172" s="181"/>
      <c r="G172" s="181"/>
      <c r="H172" s="181"/>
      <c r="I172" s="181"/>
      <c r="J172" s="181"/>
      <c r="K172" s="181"/>
      <c r="L172" s="181"/>
      <c r="M172" s="182"/>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81"/>
      <c r="E173" s="181"/>
      <c r="F173" s="181"/>
      <c r="G173" s="181"/>
      <c r="H173" s="181"/>
      <c r="I173" s="181"/>
      <c r="J173" s="181"/>
      <c r="K173" s="181"/>
      <c r="L173" s="181"/>
      <c r="M173" s="182"/>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81"/>
      <c r="E174" s="181"/>
      <c r="F174" s="181"/>
      <c r="G174" s="181"/>
      <c r="H174" s="181"/>
      <c r="I174" s="181"/>
      <c r="J174" s="181"/>
      <c r="K174" s="181"/>
      <c r="L174" s="181"/>
      <c r="M174" s="182"/>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62"/>
      <c r="AS177" s="162"/>
      <c r="AT177" s="162"/>
      <c r="AU177" s="162"/>
      <c r="AV177" s="162"/>
      <c r="AW177" s="162"/>
      <c r="AX177" s="162"/>
      <c r="AY177" s="162"/>
      <c r="AZ177" s="162"/>
      <c r="BA177" s="162"/>
      <c r="BB177" s="162"/>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87"/>
      <c r="AS178" s="187"/>
      <c r="AT178" s="187"/>
      <c r="AU178" s="187"/>
      <c r="AV178" s="187"/>
      <c r="AW178" s="187"/>
      <c r="AX178" s="187"/>
      <c r="AY178" s="187"/>
      <c r="AZ178" s="187"/>
      <c r="BA178" s="187"/>
      <c r="BB178" s="187"/>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81" t="s">
        <v>18</v>
      </c>
      <c r="E183" s="181"/>
      <c r="F183" s="181"/>
      <c r="G183" s="181"/>
      <c r="H183" s="181"/>
      <c r="I183" s="181"/>
      <c r="J183" s="181"/>
      <c r="K183" s="181"/>
      <c r="L183" s="181"/>
      <c r="M183" s="181"/>
      <c r="N183" s="97" t="str">
        <f>IF([10]回答表!X44="○","○","")</f>
        <v/>
      </c>
      <c r="O183" s="98"/>
      <c r="P183" s="98"/>
      <c r="Q183" s="99"/>
      <c r="R183" s="39"/>
      <c r="S183" s="39"/>
      <c r="T183" s="39"/>
      <c r="U183" s="106" t="str">
        <f>IF([10]回答表!X44="○",[10]回答表!B266,IF([10]回答表!AA44="○",[10]回答表!B283,""))</f>
        <v/>
      </c>
      <c r="V183" s="107"/>
      <c r="W183" s="107"/>
      <c r="X183" s="107"/>
      <c r="Y183" s="107"/>
      <c r="Z183" s="107"/>
      <c r="AA183" s="107"/>
      <c r="AB183" s="107"/>
      <c r="AC183" s="107"/>
      <c r="AD183" s="107"/>
      <c r="AE183" s="107"/>
      <c r="AF183" s="107"/>
      <c r="AG183" s="107"/>
      <c r="AH183" s="107"/>
      <c r="AI183" s="107"/>
      <c r="AJ183" s="108"/>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IF([10]回答表!X44="○",[10]回答表!U272,IF([10]回答表!AA44="○",[10]回答表!U289,""))</f>
        <v/>
      </c>
      <c r="BF183" s="116"/>
      <c r="BG183" s="116"/>
      <c r="BH183" s="116"/>
      <c r="BI183" s="115"/>
      <c r="BJ183" s="116"/>
      <c r="BK183" s="116"/>
      <c r="BL183" s="116"/>
      <c r="BM183" s="115"/>
      <c r="BN183" s="116"/>
      <c r="BO183" s="116"/>
      <c r="BP183" s="117"/>
      <c r="BQ183" s="38"/>
      <c r="BR183" s="25"/>
    </row>
    <row r="184" spans="3:70" ht="15.6" customHeight="1" x14ac:dyDescent="0.4">
      <c r="C184" s="33"/>
      <c r="D184" s="181"/>
      <c r="E184" s="181"/>
      <c r="F184" s="181"/>
      <c r="G184" s="181"/>
      <c r="H184" s="181"/>
      <c r="I184" s="181"/>
      <c r="J184" s="181"/>
      <c r="K184" s="181"/>
      <c r="L184" s="181"/>
      <c r="M184" s="181"/>
      <c r="N184" s="100"/>
      <c r="O184" s="101"/>
      <c r="P184" s="101"/>
      <c r="Q184" s="102"/>
      <c r="R184" s="39"/>
      <c r="S184" s="39"/>
      <c r="T184" s="39"/>
      <c r="U184" s="109"/>
      <c r="V184" s="110"/>
      <c r="W184" s="110"/>
      <c r="X184" s="110"/>
      <c r="Y184" s="110"/>
      <c r="Z184" s="110"/>
      <c r="AA184" s="110"/>
      <c r="AB184" s="110"/>
      <c r="AC184" s="110"/>
      <c r="AD184" s="110"/>
      <c r="AE184" s="110"/>
      <c r="AF184" s="110"/>
      <c r="AG184" s="110"/>
      <c r="AH184" s="110"/>
      <c r="AI184" s="110"/>
      <c r="AJ184" s="111"/>
      <c r="AK184" s="50"/>
      <c r="AL184" s="50"/>
      <c r="AM184" s="183"/>
      <c r="AN184" s="184"/>
      <c r="AO184" s="184"/>
      <c r="AP184" s="184"/>
      <c r="AQ184" s="184"/>
      <c r="AR184" s="184"/>
      <c r="AS184" s="184"/>
      <c r="AT184" s="185"/>
      <c r="AU184" s="183"/>
      <c r="AV184" s="184"/>
      <c r="AW184" s="184"/>
      <c r="AX184" s="184"/>
      <c r="AY184" s="184"/>
      <c r="AZ184" s="184"/>
      <c r="BA184" s="184"/>
      <c r="BB184" s="185"/>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81"/>
      <c r="E185" s="181"/>
      <c r="F185" s="181"/>
      <c r="G185" s="181"/>
      <c r="H185" s="181"/>
      <c r="I185" s="181"/>
      <c r="J185" s="181"/>
      <c r="K185" s="181"/>
      <c r="L185" s="181"/>
      <c r="M185" s="181"/>
      <c r="N185" s="100"/>
      <c r="O185" s="101"/>
      <c r="P185" s="101"/>
      <c r="Q185" s="102"/>
      <c r="R185" s="39"/>
      <c r="S185" s="39"/>
      <c r="T185" s="39"/>
      <c r="U185" s="109"/>
      <c r="V185" s="110"/>
      <c r="W185" s="110"/>
      <c r="X185" s="110"/>
      <c r="Y185" s="110"/>
      <c r="Z185" s="110"/>
      <c r="AA185" s="110"/>
      <c r="AB185" s="110"/>
      <c r="AC185" s="110"/>
      <c r="AD185" s="110"/>
      <c r="AE185" s="110"/>
      <c r="AF185" s="110"/>
      <c r="AG185" s="110"/>
      <c r="AH185" s="110"/>
      <c r="AI185" s="110"/>
      <c r="AJ185" s="111"/>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81"/>
      <c r="E186" s="181"/>
      <c r="F186" s="181"/>
      <c r="G186" s="181"/>
      <c r="H186" s="181"/>
      <c r="I186" s="181"/>
      <c r="J186" s="181"/>
      <c r="K186" s="181"/>
      <c r="L186" s="181"/>
      <c r="M186" s="181"/>
      <c r="N186" s="103"/>
      <c r="O186" s="104"/>
      <c r="P186" s="104"/>
      <c r="Q186" s="105"/>
      <c r="R186" s="39"/>
      <c r="S186" s="39"/>
      <c r="T186" s="39"/>
      <c r="U186" s="109"/>
      <c r="V186" s="110"/>
      <c r="W186" s="110"/>
      <c r="X186" s="110"/>
      <c r="Y186" s="110"/>
      <c r="Z186" s="110"/>
      <c r="AA186" s="110"/>
      <c r="AB186" s="110"/>
      <c r="AC186" s="110"/>
      <c r="AD186" s="110"/>
      <c r="AE186" s="110"/>
      <c r="AF186" s="110"/>
      <c r="AG186" s="110"/>
      <c r="AH186" s="110"/>
      <c r="AI186" s="110"/>
      <c r="AJ186" s="111"/>
      <c r="AK186" s="50"/>
      <c r="AL186" s="50"/>
      <c r="AM186" s="118" t="str">
        <f>IF([10]回答表!X44="○",[10]回答表!G272,IF([10]回答表!AA44="○",[10]回答表!G289,""))</f>
        <v/>
      </c>
      <c r="AN186" s="119"/>
      <c r="AO186" s="119"/>
      <c r="AP186" s="119"/>
      <c r="AQ186" s="119"/>
      <c r="AR186" s="119"/>
      <c r="AS186" s="119"/>
      <c r="AT186" s="120"/>
      <c r="AU186" s="118" t="str">
        <f>IF([10]回答表!X44="○",[10]回答表!G273,IF([10]回答表!AA44="○",[10]回答表!G290,""))</f>
        <v/>
      </c>
      <c r="AV186" s="119"/>
      <c r="AW186" s="119"/>
      <c r="AX186" s="119"/>
      <c r="AY186" s="119"/>
      <c r="AZ186" s="119"/>
      <c r="BA186" s="119"/>
      <c r="BB186" s="120"/>
      <c r="BC186" s="40"/>
      <c r="BD186" s="35"/>
      <c r="BE186" s="82" t="str">
        <f>IF([10]回答表!X44="○",[10]回答表!X272,IF([10]回答表!AA44="○",[10]回答表!X289,""))</f>
        <v/>
      </c>
      <c r="BF186" s="83"/>
      <c r="BG186" s="83"/>
      <c r="BH186" s="83"/>
      <c r="BI186" s="82" t="str">
        <f>IF([10]回答表!X44="○",[10]回答表!X273,IF([10]回答表!AA44="○",[10]回答表!X290,""))</f>
        <v/>
      </c>
      <c r="BJ186" s="83"/>
      <c r="BK186" s="83"/>
      <c r="BL186" s="86"/>
      <c r="BM186" s="82" t="str">
        <f>IF([10]回答表!X44="○",[10]回答表!X274,IF([10]回答表!AA44="○",[10]回答表!X291,""))</f>
        <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09"/>
      <c r="V187" s="110"/>
      <c r="W187" s="110"/>
      <c r="X187" s="110"/>
      <c r="Y187" s="110"/>
      <c r="Z187" s="110"/>
      <c r="AA187" s="110"/>
      <c r="AB187" s="110"/>
      <c r="AC187" s="110"/>
      <c r="AD187" s="110"/>
      <c r="AE187" s="110"/>
      <c r="AF187" s="110"/>
      <c r="AG187" s="110"/>
      <c r="AH187" s="110"/>
      <c r="AI187" s="110"/>
      <c r="AJ187" s="111"/>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09"/>
      <c r="V188" s="110"/>
      <c r="W188" s="110"/>
      <c r="X188" s="110"/>
      <c r="Y188" s="110"/>
      <c r="Z188" s="110"/>
      <c r="AA188" s="110"/>
      <c r="AB188" s="110"/>
      <c r="AC188" s="110"/>
      <c r="AD188" s="110"/>
      <c r="AE188" s="110"/>
      <c r="AF188" s="110"/>
      <c r="AG188" s="110"/>
      <c r="AH188" s="110"/>
      <c r="AI188" s="110"/>
      <c r="AJ188" s="111"/>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86" t="s">
        <v>26</v>
      </c>
      <c r="E189" s="181"/>
      <c r="F189" s="181"/>
      <c r="G189" s="181"/>
      <c r="H189" s="181"/>
      <c r="I189" s="181"/>
      <c r="J189" s="181"/>
      <c r="K189" s="181"/>
      <c r="L189" s="181"/>
      <c r="M189" s="182"/>
      <c r="N189" s="97" t="str">
        <f>IF([10]回答表!AA44="○","○","")</f>
        <v/>
      </c>
      <c r="O189" s="98"/>
      <c r="P189" s="98"/>
      <c r="Q189" s="99"/>
      <c r="R189" s="39"/>
      <c r="S189" s="39"/>
      <c r="T189" s="39"/>
      <c r="U189" s="109"/>
      <c r="V189" s="110"/>
      <c r="W189" s="110"/>
      <c r="X189" s="110"/>
      <c r="Y189" s="110"/>
      <c r="Z189" s="110"/>
      <c r="AA189" s="110"/>
      <c r="AB189" s="110"/>
      <c r="AC189" s="110"/>
      <c r="AD189" s="110"/>
      <c r="AE189" s="110"/>
      <c r="AF189" s="110"/>
      <c r="AG189" s="110"/>
      <c r="AH189" s="110"/>
      <c r="AI189" s="110"/>
      <c r="AJ189" s="111"/>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81"/>
      <c r="E190" s="181"/>
      <c r="F190" s="181"/>
      <c r="G190" s="181"/>
      <c r="H190" s="181"/>
      <c r="I190" s="181"/>
      <c r="J190" s="181"/>
      <c r="K190" s="181"/>
      <c r="L190" s="181"/>
      <c r="M190" s="182"/>
      <c r="N190" s="100"/>
      <c r="O190" s="101"/>
      <c r="P190" s="101"/>
      <c r="Q190" s="102"/>
      <c r="R190" s="39"/>
      <c r="S190" s="39"/>
      <c r="T190" s="39"/>
      <c r="U190" s="109"/>
      <c r="V190" s="110"/>
      <c r="W190" s="110"/>
      <c r="X190" s="110"/>
      <c r="Y190" s="110"/>
      <c r="Z190" s="110"/>
      <c r="AA190" s="110"/>
      <c r="AB190" s="110"/>
      <c r="AC190" s="110"/>
      <c r="AD190" s="110"/>
      <c r="AE190" s="110"/>
      <c r="AF190" s="110"/>
      <c r="AG190" s="110"/>
      <c r="AH190" s="110"/>
      <c r="AI190" s="110"/>
      <c r="AJ190" s="111"/>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81"/>
      <c r="E191" s="181"/>
      <c r="F191" s="181"/>
      <c r="G191" s="181"/>
      <c r="H191" s="181"/>
      <c r="I191" s="181"/>
      <c r="J191" s="181"/>
      <c r="K191" s="181"/>
      <c r="L191" s="181"/>
      <c r="M191" s="182"/>
      <c r="N191" s="100"/>
      <c r="O191" s="101"/>
      <c r="P191" s="101"/>
      <c r="Q191" s="102"/>
      <c r="R191" s="39"/>
      <c r="S191" s="39"/>
      <c r="T191" s="39"/>
      <c r="U191" s="109"/>
      <c r="V191" s="110"/>
      <c r="W191" s="110"/>
      <c r="X191" s="110"/>
      <c r="Y191" s="110"/>
      <c r="Z191" s="110"/>
      <c r="AA191" s="110"/>
      <c r="AB191" s="110"/>
      <c r="AC191" s="110"/>
      <c r="AD191" s="110"/>
      <c r="AE191" s="110"/>
      <c r="AF191" s="110"/>
      <c r="AG191" s="110"/>
      <c r="AH191" s="110"/>
      <c r="AI191" s="110"/>
      <c r="AJ191" s="111"/>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81"/>
      <c r="E192" s="181"/>
      <c r="F192" s="181"/>
      <c r="G192" s="181"/>
      <c r="H192" s="181"/>
      <c r="I192" s="181"/>
      <c r="J192" s="181"/>
      <c r="K192" s="181"/>
      <c r="L192" s="181"/>
      <c r="M192" s="182"/>
      <c r="N192" s="103"/>
      <c r="O192" s="104"/>
      <c r="P192" s="104"/>
      <c r="Q192" s="105"/>
      <c r="R192" s="39"/>
      <c r="S192" s="39"/>
      <c r="T192" s="39"/>
      <c r="U192" s="112"/>
      <c r="V192" s="113"/>
      <c r="W192" s="113"/>
      <c r="X192" s="113"/>
      <c r="Y192" s="113"/>
      <c r="Z192" s="113"/>
      <c r="AA192" s="113"/>
      <c r="AB192" s="113"/>
      <c r="AC192" s="113"/>
      <c r="AD192" s="113"/>
      <c r="AE192" s="113"/>
      <c r="AF192" s="113"/>
      <c r="AG192" s="113"/>
      <c r="AH192" s="113"/>
      <c r="AI192" s="113"/>
      <c r="AJ192" s="114"/>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81" t="s">
        <v>34</v>
      </c>
      <c r="E195" s="181"/>
      <c r="F195" s="181"/>
      <c r="G195" s="181"/>
      <c r="H195" s="181"/>
      <c r="I195" s="181"/>
      <c r="J195" s="181"/>
      <c r="K195" s="181"/>
      <c r="L195" s="181"/>
      <c r="M195" s="182"/>
      <c r="N195" s="97" t="str">
        <f>IF([10]回答表!AD44="○","○","")</f>
        <v/>
      </c>
      <c r="O195" s="98"/>
      <c r="P195" s="98"/>
      <c r="Q195" s="99"/>
      <c r="R195" s="39"/>
      <c r="S195" s="39"/>
      <c r="T195" s="39"/>
      <c r="U195" s="106" t="str">
        <f>IF([10]回答表!AD44="○",[10]回答表!B296,"")</f>
        <v/>
      </c>
      <c r="V195" s="107"/>
      <c r="W195" s="107"/>
      <c r="X195" s="107"/>
      <c r="Y195" s="107"/>
      <c r="Z195" s="107"/>
      <c r="AA195" s="107"/>
      <c r="AB195" s="107"/>
      <c r="AC195" s="107"/>
      <c r="AD195" s="107"/>
      <c r="AE195" s="107"/>
      <c r="AF195" s="107"/>
      <c r="AG195" s="107"/>
      <c r="AH195" s="107"/>
      <c r="AI195" s="107"/>
      <c r="AJ195" s="108"/>
      <c r="AK195" s="61"/>
      <c r="AL195" s="61"/>
      <c r="AM195" s="106" t="str">
        <f>IF([10]回答表!AD44="○",[10]回答表!B302,"")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81"/>
      <c r="E196" s="181"/>
      <c r="F196" s="181"/>
      <c r="G196" s="181"/>
      <c r="H196" s="181"/>
      <c r="I196" s="181"/>
      <c r="J196" s="181"/>
      <c r="K196" s="181"/>
      <c r="L196" s="181"/>
      <c r="M196" s="182"/>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81"/>
      <c r="E197" s="181"/>
      <c r="F197" s="181"/>
      <c r="G197" s="181"/>
      <c r="H197" s="181"/>
      <c r="I197" s="181"/>
      <c r="J197" s="181"/>
      <c r="K197" s="181"/>
      <c r="L197" s="181"/>
      <c r="M197" s="182"/>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81"/>
      <c r="E198" s="181"/>
      <c r="F198" s="181"/>
      <c r="G198" s="181"/>
      <c r="H198" s="181"/>
      <c r="I198" s="181"/>
      <c r="J198" s="181"/>
      <c r="K198" s="181"/>
      <c r="L198" s="181"/>
      <c r="M198" s="182"/>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62"/>
      <c r="AS201" s="162"/>
      <c r="AT201" s="162"/>
      <c r="AU201" s="162"/>
      <c r="AV201" s="162"/>
      <c r="AW201" s="162"/>
      <c r="AX201" s="162"/>
      <c r="AY201" s="162"/>
      <c r="AZ201" s="162"/>
      <c r="BA201" s="162"/>
      <c r="BB201" s="162"/>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63"/>
      <c r="AS202" s="163"/>
      <c r="AT202" s="163"/>
      <c r="AU202" s="163"/>
      <c r="AV202" s="163"/>
      <c r="AW202" s="163"/>
      <c r="AX202" s="163"/>
      <c r="AY202" s="163"/>
      <c r="AZ202" s="163"/>
      <c r="BA202" s="163"/>
      <c r="BB202" s="163"/>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IF([10]回答表!X45="○","○","")</f>
        <v/>
      </c>
      <c r="O207" s="98"/>
      <c r="P207" s="98"/>
      <c r="Q207" s="99"/>
      <c r="R207" s="39"/>
      <c r="S207" s="39"/>
      <c r="T207" s="39"/>
      <c r="U207" s="106" t="str">
        <f>IF([10]回答表!X45="○",[10]回答表!B314,IF([10]回答表!AA45="○",[10]回答表!B337,""))</f>
        <v/>
      </c>
      <c r="V207" s="107"/>
      <c r="W207" s="107"/>
      <c r="X207" s="107"/>
      <c r="Y207" s="107"/>
      <c r="Z207" s="107"/>
      <c r="AA207" s="107"/>
      <c r="AB207" s="107"/>
      <c r="AC207" s="107"/>
      <c r="AD207" s="107"/>
      <c r="AE207" s="107"/>
      <c r="AF207" s="107"/>
      <c r="AG207" s="107"/>
      <c r="AH207" s="107"/>
      <c r="AI207" s="107"/>
      <c r="AJ207" s="108"/>
      <c r="AK207" s="50"/>
      <c r="AL207" s="50"/>
      <c r="AM207" s="50"/>
      <c r="AN207" s="106" t="str">
        <f>IF([10]回答表!X45="○",[10]回答表!B320,"")</f>
        <v/>
      </c>
      <c r="AO207" s="173"/>
      <c r="AP207" s="173"/>
      <c r="AQ207" s="173"/>
      <c r="AR207" s="173"/>
      <c r="AS207" s="173"/>
      <c r="AT207" s="173"/>
      <c r="AU207" s="173"/>
      <c r="AV207" s="173"/>
      <c r="AW207" s="173"/>
      <c r="AX207" s="173"/>
      <c r="AY207" s="173"/>
      <c r="AZ207" s="173"/>
      <c r="BA207" s="173"/>
      <c r="BB207" s="174"/>
      <c r="BC207" s="40"/>
      <c r="BD207" s="35"/>
      <c r="BE207" s="115" t="str">
        <f>IF([10]回答表!X45="○",[10]回答表!B326,IF([10]回答表!AA45="○",[10]回答表!B343,""))</f>
        <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75"/>
      <c r="AO208" s="176"/>
      <c r="AP208" s="176"/>
      <c r="AQ208" s="176"/>
      <c r="AR208" s="176"/>
      <c r="AS208" s="176"/>
      <c r="AT208" s="176"/>
      <c r="AU208" s="176"/>
      <c r="AV208" s="176"/>
      <c r="AW208" s="176"/>
      <c r="AX208" s="176"/>
      <c r="AY208" s="176"/>
      <c r="AZ208" s="176"/>
      <c r="BA208" s="176"/>
      <c r="BB208" s="177"/>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75"/>
      <c r="AO209" s="176"/>
      <c r="AP209" s="176"/>
      <c r="AQ209" s="176"/>
      <c r="AR209" s="176"/>
      <c r="AS209" s="176"/>
      <c r="AT209" s="176"/>
      <c r="AU209" s="176"/>
      <c r="AV209" s="176"/>
      <c r="AW209" s="176"/>
      <c r="AX209" s="176"/>
      <c r="AY209" s="176"/>
      <c r="AZ209" s="176"/>
      <c r="BA209" s="176"/>
      <c r="BB209" s="177"/>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75"/>
      <c r="AO210" s="176"/>
      <c r="AP210" s="176"/>
      <c r="AQ210" s="176"/>
      <c r="AR210" s="176"/>
      <c r="AS210" s="176"/>
      <c r="AT210" s="176"/>
      <c r="AU210" s="176"/>
      <c r="AV210" s="176"/>
      <c r="AW210" s="176"/>
      <c r="AX210" s="176"/>
      <c r="AY210" s="176"/>
      <c r="AZ210" s="176"/>
      <c r="BA210" s="176"/>
      <c r="BB210" s="177"/>
      <c r="BC210" s="40"/>
      <c r="BD210" s="35"/>
      <c r="BE210" s="82" t="str">
        <f>IF([10]回答表!X45="○",[10]回答表!E326,IF([10]回答表!AA45="○",[10]回答表!E343,""))</f>
        <v/>
      </c>
      <c r="BF210" s="83"/>
      <c r="BG210" s="83"/>
      <c r="BH210" s="83"/>
      <c r="BI210" s="82" t="str">
        <f>IF([10]回答表!X45="○",[10]回答表!E327,IF([10]回答表!AA45="○",[10]回答表!E344,""))</f>
        <v/>
      </c>
      <c r="BJ210" s="83"/>
      <c r="BK210" s="83"/>
      <c r="BL210" s="86"/>
      <c r="BM210" s="82" t="str">
        <f>IF([10]回答表!X45="○",[10]回答表!E328,IF([10]回答表!AA45="○",[10]回答表!E345,""))</f>
        <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75"/>
      <c r="AO211" s="176"/>
      <c r="AP211" s="176"/>
      <c r="AQ211" s="176"/>
      <c r="AR211" s="176"/>
      <c r="AS211" s="176"/>
      <c r="AT211" s="176"/>
      <c r="AU211" s="176"/>
      <c r="AV211" s="176"/>
      <c r="AW211" s="176"/>
      <c r="AX211" s="176"/>
      <c r="AY211" s="176"/>
      <c r="AZ211" s="176"/>
      <c r="BA211" s="176"/>
      <c r="BB211" s="177"/>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75"/>
      <c r="AO212" s="176"/>
      <c r="AP212" s="176"/>
      <c r="AQ212" s="176"/>
      <c r="AR212" s="176"/>
      <c r="AS212" s="176"/>
      <c r="AT212" s="176"/>
      <c r="AU212" s="176"/>
      <c r="AV212" s="176"/>
      <c r="AW212" s="176"/>
      <c r="AX212" s="176"/>
      <c r="AY212" s="176"/>
      <c r="AZ212" s="176"/>
      <c r="BA212" s="176"/>
      <c r="BB212" s="177"/>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IF([10]回答表!AA45="○","○","")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75"/>
      <c r="AO213" s="176"/>
      <c r="AP213" s="176"/>
      <c r="AQ213" s="176"/>
      <c r="AR213" s="176"/>
      <c r="AS213" s="176"/>
      <c r="AT213" s="176"/>
      <c r="AU213" s="176"/>
      <c r="AV213" s="176"/>
      <c r="AW213" s="176"/>
      <c r="AX213" s="176"/>
      <c r="AY213" s="176"/>
      <c r="AZ213" s="176"/>
      <c r="BA213" s="176"/>
      <c r="BB213" s="177"/>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75"/>
      <c r="AO214" s="176"/>
      <c r="AP214" s="176"/>
      <c r="AQ214" s="176"/>
      <c r="AR214" s="176"/>
      <c r="AS214" s="176"/>
      <c r="AT214" s="176"/>
      <c r="AU214" s="176"/>
      <c r="AV214" s="176"/>
      <c r="AW214" s="176"/>
      <c r="AX214" s="176"/>
      <c r="AY214" s="176"/>
      <c r="AZ214" s="176"/>
      <c r="BA214" s="176"/>
      <c r="BB214" s="177"/>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75"/>
      <c r="AO215" s="176"/>
      <c r="AP215" s="176"/>
      <c r="AQ215" s="176"/>
      <c r="AR215" s="176"/>
      <c r="AS215" s="176"/>
      <c r="AT215" s="176"/>
      <c r="AU215" s="176"/>
      <c r="AV215" s="176"/>
      <c r="AW215" s="176"/>
      <c r="AX215" s="176"/>
      <c r="AY215" s="176"/>
      <c r="AZ215" s="176"/>
      <c r="BA215" s="176"/>
      <c r="BB215" s="177"/>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78"/>
      <c r="AO216" s="179"/>
      <c r="AP216" s="179"/>
      <c r="AQ216" s="179"/>
      <c r="AR216" s="179"/>
      <c r="AS216" s="179"/>
      <c r="AT216" s="179"/>
      <c r="AU216" s="179"/>
      <c r="AV216" s="179"/>
      <c r="AW216" s="179"/>
      <c r="AX216" s="179"/>
      <c r="AY216" s="179"/>
      <c r="AZ216" s="179"/>
      <c r="BA216" s="179"/>
      <c r="BB216" s="180"/>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IF([10]回答表!AD45="○","○","")</f>
        <v/>
      </c>
      <c r="O219" s="98"/>
      <c r="P219" s="98"/>
      <c r="Q219" s="99"/>
      <c r="R219" s="39"/>
      <c r="S219" s="39"/>
      <c r="T219" s="39"/>
      <c r="U219" s="106" t="str">
        <f>IF([10]回答表!AD45="○",[10]回答表!B350,"")</f>
        <v/>
      </c>
      <c r="V219" s="107"/>
      <c r="W219" s="107"/>
      <c r="X219" s="107"/>
      <c r="Y219" s="107"/>
      <c r="Z219" s="107"/>
      <c r="AA219" s="107"/>
      <c r="AB219" s="107"/>
      <c r="AC219" s="107"/>
      <c r="AD219" s="107"/>
      <c r="AE219" s="107"/>
      <c r="AF219" s="107"/>
      <c r="AG219" s="107"/>
      <c r="AH219" s="107"/>
      <c r="AI219" s="107"/>
      <c r="AJ219" s="108"/>
      <c r="AK219" s="61"/>
      <c r="AL219" s="61"/>
      <c r="AM219" s="106" t="str">
        <f>IF([10]回答表!AD45="○",[10]回答表!B356,"")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62"/>
      <c r="AS225" s="162"/>
      <c r="AT225" s="162"/>
      <c r="AU225" s="162"/>
      <c r="AV225" s="162"/>
      <c r="AW225" s="162"/>
      <c r="AX225" s="162"/>
      <c r="AY225" s="162"/>
      <c r="AZ225" s="162"/>
      <c r="BA225" s="162"/>
      <c r="BB225" s="162"/>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63"/>
      <c r="AS226" s="163"/>
      <c r="AT226" s="163"/>
      <c r="AU226" s="163"/>
      <c r="AV226" s="163"/>
      <c r="AW226" s="163"/>
      <c r="AX226" s="163"/>
      <c r="AY226" s="163"/>
      <c r="AZ226" s="163"/>
      <c r="BA226" s="163"/>
      <c r="BB226" s="163"/>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IF([10]回答表!X46="○","○","")</f>
        <v/>
      </c>
      <c r="O231" s="98"/>
      <c r="P231" s="98"/>
      <c r="Q231" s="99"/>
      <c r="R231" s="39"/>
      <c r="S231" s="39"/>
      <c r="T231" s="39"/>
      <c r="U231" s="106" t="str">
        <f>IF([10]回答表!X46="○",[10]回答表!B368,IF([10]回答表!AA46="○",[10]回答表!B382,""))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IF([10]回答表!X46="○",[10]回答表!BC375,IF([10]回答表!AA46="○",[10]回答表!BC389,""))</f>
        <v/>
      </c>
      <c r="AR231" s="150"/>
      <c r="AS231" s="150"/>
      <c r="AT231" s="150"/>
      <c r="AU231" s="164" t="s">
        <v>63</v>
      </c>
      <c r="AV231" s="165"/>
      <c r="AW231" s="165"/>
      <c r="AX231" s="166"/>
      <c r="AY231" s="150" t="str">
        <f>IF([10]回答表!X46="○",[10]回答表!BC380,IF([10]回答表!AA46="○",[10]回答表!BC394,""))</f>
        <v/>
      </c>
      <c r="AZ231" s="150"/>
      <c r="BA231" s="150"/>
      <c r="BB231" s="150"/>
      <c r="BC231" s="40"/>
      <c r="BD231" s="35"/>
      <c r="BE231" s="115" t="str">
        <f>IF([10]回答表!X46="○",[10]回答表!S374,IF([10]回答表!AA46="○",[10]回答表!S388,""))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67"/>
      <c r="AV232" s="168"/>
      <c r="AW232" s="168"/>
      <c r="AX232" s="169"/>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IF([10]回答表!X46="○",[10]回答表!BC376,IF([10]回答表!AA46="○",[10]回答表!BC390,""))</f>
        <v/>
      </c>
      <c r="AR233" s="150"/>
      <c r="AS233" s="150"/>
      <c r="AT233" s="150"/>
      <c r="AU233" s="167"/>
      <c r="AV233" s="168"/>
      <c r="AW233" s="168"/>
      <c r="AX233" s="169"/>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67"/>
      <c r="AV234" s="168"/>
      <c r="AW234" s="168"/>
      <c r="AX234" s="169"/>
      <c r="AY234" s="150"/>
      <c r="AZ234" s="150"/>
      <c r="BA234" s="150"/>
      <c r="BB234" s="150"/>
      <c r="BC234" s="40"/>
      <c r="BD234" s="35"/>
      <c r="BE234" s="82" t="str">
        <f>IF([10]回答表!X46="○",[10]回答表!V374,IF([10]回答表!AA46="○",[10]回答表!V388,""))</f>
        <v/>
      </c>
      <c r="BF234" s="83"/>
      <c r="BG234" s="83"/>
      <c r="BH234" s="83"/>
      <c r="BI234" s="82" t="str">
        <f>IF([10]回答表!X46="○",[10]回答表!V375,IF([10]回答表!AA46="○",[10]回答表!V389,""))</f>
        <v/>
      </c>
      <c r="BJ234" s="83"/>
      <c r="BK234" s="83"/>
      <c r="BL234" s="86"/>
      <c r="BM234" s="82" t="str">
        <f>IF([10]回答表!X46="○",[10]回答表!V376,IF([10]回答表!AA46="○",[10]回答表!V390,""))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IF([10]回答表!X46="○",[10]回答表!BC377,IF([10]回答表!AA46="○",[10]回答表!BC391,""))</f>
        <v/>
      </c>
      <c r="AR235" s="150"/>
      <c r="AS235" s="150"/>
      <c r="AT235" s="150"/>
      <c r="AU235" s="170"/>
      <c r="AV235" s="171"/>
      <c r="AW235" s="171"/>
      <c r="AX235" s="172"/>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60" t="str">
        <f>IF([10]回答表!X46="○",[10]回答表!BC381,IF([10]回答表!AA46="○",[10]回答表!BC395,""))</f>
        <v/>
      </c>
      <c r="AZ236" s="160"/>
      <c r="BA236" s="160"/>
      <c r="BB236" s="160"/>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IF([10]回答表!AA46="○","○","")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61" t="str">
        <f>IF([10]回答表!X46="○",[10]回答表!BC378,IF([10]回答表!AA46="○",[10]回答表!BC392,""))</f>
        <v/>
      </c>
      <c r="AR237" s="150"/>
      <c r="AS237" s="150"/>
      <c r="AT237" s="150"/>
      <c r="AU237" s="149"/>
      <c r="AV237" s="149"/>
      <c r="AW237" s="149"/>
      <c r="AX237" s="149"/>
      <c r="AY237" s="160"/>
      <c r="AZ237" s="160"/>
      <c r="BA237" s="160"/>
      <c r="BB237" s="160"/>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60"/>
      <c r="AZ238" s="160"/>
      <c r="BA238" s="160"/>
      <c r="BB238" s="160"/>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IF([10]回答表!X46="○",[10]回答表!BC379,IF([10]回答表!AA46="○",[10]回答表!BC393,""))</f>
        <v/>
      </c>
      <c r="AR239" s="150"/>
      <c r="AS239" s="150"/>
      <c r="AT239" s="150"/>
      <c r="AU239" s="149"/>
      <c r="AV239" s="149"/>
      <c r="AW239" s="149"/>
      <c r="AX239" s="149"/>
      <c r="AY239" s="160"/>
      <c r="AZ239" s="160"/>
      <c r="BA239" s="160"/>
      <c r="BB239" s="160"/>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60"/>
      <c r="AZ240" s="160"/>
      <c r="BA240" s="160"/>
      <c r="BB240" s="160"/>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IF([10]回答表!AD46="○","○","")</f>
        <v/>
      </c>
      <c r="O243" s="98"/>
      <c r="P243" s="98"/>
      <c r="Q243" s="99"/>
      <c r="R243" s="39"/>
      <c r="S243" s="39"/>
      <c r="T243" s="39"/>
      <c r="U243" s="106" t="str">
        <f>IF([10]回答表!AD46="○",[10]回答表!B396,"")</f>
        <v/>
      </c>
      <c r="V243" s="107"/>
      <c r="W243" s="107"/>
      <c r="X243" s="107"/>
      <c r="Y243" s="107"/>
      <c r="Z243" s="107"/>
      <c r="AA243" s="107"/>
      <c r="AB243" s="107"/>
      <c r="AC243" s="107"/>
      <c r="AD243" s="107"/>
      <c r="AE243" s="107"/>
      <c r="AF243" s="107"/>
      <c r="AG243" s="107"/>
      <c r="AH243" s="107"/>
      <c r="AI243" s="107"/>
      <c r="AJ243" s="108"/>
      <c r="AK243" s="56"/>
      <c r="AL243" s="56"/>
      <c r="AM243" s="106" t="str">
        <f>IF([10]回答表!AD46="○",[10]回答表!B402,"")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IF([10]回答表!X47="○","○","")</f>
        <v/>
      </c>
      <c r="O254" s="98"/>
      <c r="P254" s="98"/>
      <c r="Q254" s="99"/>
      <c r="R254" s="39"/>
      <c r="S254" s="39"/>
      <c r="T254" s="39"/>
      <c r="U254" s="106" t="str">
        <f>IF([10]回答表!X47="○",[10]回答表!B414,IF([10]回答表!AA47="○",[10]回答表!B431,""))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IF([10]回答表!X47="○",[10]回答表!B424,IF([10]回答表!AA47="○",[10]回答表!B441,""))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IF([10]回答表!X47="○",[10]回答表!G420,IF([10]回答表!AA47="○",[10]回答表!G437,""))</f>
        <v/>
      </c>
      <c r="AN256" s="119"/>
      <c r="AO256" s="119"/>
      <c r="AP256" s="119"/>
      <c r="AQ256" s="119"/>
      <c r="AR256" s="119"/>
      <c r="AS256" s="119"/>
      <c r="AT256" s="120"/>
      <c r="AU256" s="118" t="str">
        <f>IF([10]回答表!X47="○",[10]回答表!G421,IF([10]回答表!AA47="○",[10]回答表!G438,""))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IF([10]回答表!X47="○",[10]回答表!E424,IF([10]回答表!AA47="○",[10]回答表!E441,""))</f>
        <v/>
      </c>
      <c r="BF257" s="83"/>
      <c r="BG257" s="83"/>
      <c r="BH257" s="83"/>
      <c r="BI257" s="82" t="str">
        <f>IF([10]回答表!X47="○",[10]回答表!E425,IF([10]回答表!AA47="○",[10]回答表!E442,""))</f>
        <v/>
      </c>
      <c r="BJ257" s="83"/>
      <c r="BK257" s="83"/>
      <c r="BL257" s="86"/>
      <c r="BM257" s="82" t="str">
        <f>IF([10]回答表!X47="○",[10]回答表!E426,IF([10]回答表!AA47="○",[10]回答表!E443,""))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IF([10]回答表!AA47="○","○","")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IF([10]回答表!AD47="○","○","")</f>
        <v/>
      </c>
      <c r="O266" s="98"/>
      <c r="P266" s="98"/>
      <c r="Q266" s="99"/>
      <c r="R266" s="39"/>
      <c r="S266" s="39"/>
      <c r="T266" s="39"/>
      <c r="U266" s="106" t="str">
        <f>IF([10]回答表!AD47="○",[10]回答表!B448,"")</f>
        <v/>
      </c>
      <c r="V266" s="107"/>
      <c r="W266" s="107"/>
      <c r="X266" s="107"/>
      <c r="Y266" s="107"/>
      <c r="Z266" s="107"/>
      <c r="AA266" s="107"/>
      <c r="AB266" s="107"/>
      <c r="AC266" s="107"/>
      <c r="AD266" s="107"/>
      <c r="AE266" s="107"/>
      <c r="AF266" s="107"/>
      <c r="AG266" s="107"/>
      <c r="AH266" s="107"/>
      <c r="AI266" s="107"/>
      <c r="AJ266" s="108"/>
      <c r="AK266" s="50"/>
      <c r="AL266" s="50"/>
      <c r="AM266" s="106" t="str">
        <f>IF([10]回答表!AD47="○",[10]回答表!B454,"")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IF([10]回答表!R48="○",[10]回答表!B467,"")</f>
        <v>　現行の経営体制・手法で健全な事業運営が実施できているため。
　現状の事業規模と将来的な規模拡大の可能性を鑑み、抜本的な改革の検討に至らないため。</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BE207:BH209"/>
    <mergeCell ref="BI207:BL209"/>
    <mergeCell ref="BM207:BP209"/>
    <mergeCell ref="BI135:BL137"/>
    <mergeCell ref="BM135:BP137"/>
    <mergeCell ref="C275:BQ277"/>
    <mergeCell ref="D279:BP297"/>
    <mergeCell ref="BE87:BH89"/>
    <mergeCell ref="BI87:BL89"/>
    <mergeCell ref="BM87:BP89"/>
    <mergeCell ref="BE90:BH93"/>
    <mergeCell ref="D52:M55"/>
    <mergeCell ref="N52:Q55"/>
    <mergeCell ref="U52:AJ55"/>
    <mergeCell ref="AM52:BP55"/>
    <mergeCell ref="BI36:BL38"/>
    <mergeCell ref="BM36:BP38"/>
    <mergeCell ref="AM38:AT40"/>
    <mergeCell ref="AU38:BB40"/>
    <mergeCell ref="BE214:BH216"/>
    <mergeCell ref="BI214:BL216"/>
    <mergeCell ref="BM214:BP216"/>
    <mergeCell ref="BE210:BH213"/>
    <mergeCell ref="BI210:BL213"/>
    <mergeCell ref="BM210:BP213"/>
    <mergeCell ref="BI111:BL113"/>
    <mergeCell ref="BM111:BP113"/>
    <mergeCell ref="BI114:BL117"/>
    <mergeCell ref="BM114:BP117"/>
    <mergeCell ref="BI118:BL120"/>
    <mergeCell ref="BM118:BP120"/>
    <mergeCell ref="BE135:BH137"/>
    <mergeCell ref="BI90:BL93"/>
    <mergeCell ref="BM90:BP93"/>
    <mergeCell ref="BE94:BH96"/>
    <mergeCell ref="D36:M39"/>
    <mergeCell ref="N36:Q39"/>
    <mergeCell ref="U36:AJ47"/>
    <mergeCell ref="AM36:AT37"/>
    <mergeCell ref="BF8:BP10"/>
    <mergeCell ref="BF11:BP13"/>
    <mergeCell ref="AM24:AS26"/>
    <mergeCell ref="AT24:AZ26"/>
    <mergeCell ref="U8:AN10"/>
    <mergeCell ref="U11:AN13"/>
    <mergeCell ref="D24:J26"/>
    <mergeCell ref="K24:Q26"/>
    <mergeCell ref="D18:AZ19"/>
    <mergeCell ref="D20:J23"/>
    <mergeCell ref="K20:Q23"/>
    <mergeCell ref="R20:X23"/>
    <mergeCell ref="Y20:AZ22"/>
    <mergeCell ref="D32:Q33"/>
    <mergeCell ref="R32:BB33"/>
    <mergeCell ref="BM39:BP42"/>
    <mergeCell ref="BM43:BP45"/>
    <mergeCell ref="C8:T10"/>
    <mergeCell ref="D44:M47"/>
    <mergeCell ref="N44:Q47"/>
    <mergeCell ref="BE39:BH42"/>
    <mergeCell ref="BI39:BL42"/>
    <mergeCell ref="BE43:BH45"/>
    <mergeCell ref="BI43:BL45"/>
    <mergeCell ref="AO44:BB44"/>
    <mergeCell ref="AO45:BB45"/>
    <mergeCell ref="AO46:BB46"/>
    <mergeCell ref="R24:X26"/>
    <mergeCell ref="Y24:AE26"/>
    <mergeCell ref="AF24:AL26"/>
    <mergeCell ref="BB20:BJ23"/>
    <mergeCell ref="BB24:BJ26"/>
    <mergeCell ref="AU36:BB37"/>
    <mergeCell ref="BE36:BH38"/>
    <mergeCell ref="AO11:BE13"/>
    <mergeCell ref="AO8:BE10"/>
    <mergeCell ref="AR31:BB31"/>
    <mergeCell ref="Y23:AE23"/>
    <mergeCell ref="AF23:AL23"/>
    <mergeCell ref="AM23:AS23"/>
    <mergeCell ref="AT23:AZ23"/>
    <mergeCell ref="D59:Q60"/>
    <mergeCell ref="R59:BB60"/>
    <mergeCell ref="D63:M66"/>
    <mergeCell ref="N63:Q66"/>
    <mergeCell ref="U63:AJ72"/>
    <mergeCell ref="AM63:AT65"/>
    <mergeCell ref="AU63:BB65"/>
    <mergeCell ref="D69:M72"/>
    <mergeCell ref="N69:Q72"/>
    <mergeCell ref="BI63:BL65"/>
    <mergeCell ref="BM63:BP65"/>
    <mergeCell ref="AM66:AT68"/>
    <mergeCell ref="AU66:BB68"/>
    <mergeCell ref="BE66:BH69"/>
    <mergeCell ref="AO47:BB47"/>
    <mergeCell ref="AO48:BB48"/>
    <mergeCell ref="AM42:AN42"/>
    <mergeCell ref="AM43:AN43"/>
    <mergeCell ref="AM44:AN44"/>
    <mergeCell ref="AM45:AN45"/>
    <mergeCell ref="AO42:BB42"/>
    <mergeCell ref="AO43:BB43"/>
    <mergeCell ref="AM46:AN46"/>
    <mergeCell ref="AM47:AN47"/>
    <mergeCell ref="AR58:BB58"/>
    <mergeCell ref="BI66:BL69"/>
    <mergeCell ref="BM66:BP69"/>
    <mergeCell ref="BE70:BH72"/>
    <mergeCell ref="BI70:BL72"/>
    <mergeCell ref="BM70:BP72"/>
    <mergeCell ref="D87:M90"/>
    <mergeCell ref="N87:Q90"/>
    <mergeCell ref="U87:AB88"/>
    <mergeCell ref="AC87:AJ88"/>
    <mergeCell ref="AM87:BB96"/>
    <mergeCell ref="D75:M78"/>
    <mergeCell ref="N75:Q78"/>
    <mergeCell ref="U75:AJ78"/>
    <mergeCell ref="AM75:BP78"/>
    <mergeCell ref="BI94:BL96"/>
    <mergeCell ref="BM94:BP96"/>
    <mergeCell ref="AR81:BB82"/>
    <mergeCell ref="BE138:BH141"/>
    <mergeCell ref="BI138:BL141"/>
    <mergeCell ref="BM138:BP141"/>
    <mergeCell ref="U140:AB141"/>
    <mergeCell ref="AC140:AJ141"/>
    <mergeCell ref="D93:M96"/>
    <mergeCell ref="N93:Q96"/>
    <mergeCell ref="U94:AB96"/>
    <mergeCell ref="AC94:AJ96"/>
    <mergeCell ref="U92:AB93"/>
    <mergeCell ref="AC92:AJ93"/>
    <mergeCell ref="AR129:BB130"/>
    <mergeCell ref="D131:Q132"/>
    <mergeCell ref="R131:BB132"/>
    <mergeCell ref="D135:M138"/>
    <mergeCell ref="N135:Q138"/>
    <mergeCell ref="U135:AB136"/>
    <mergeCell ref="AC135:AJ136"/>
    <mergeCell ref="AM135:BB144"/>
    <mergeCell ref="D141:M144"/>
    <mergeCell ref="N141:Q144"/>
    <mergeCell ref="U137:AB139"/>
    <mergeCell ref="AC137:AJ139"/>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AR177:BB178"/>
    <mergeCell ref="D179:Q180"/>
    <mergeCell ref="R179:BB180"/>
    <mergeCell ref="AQ162:AT165"/>
    <mergeCell ref="AU162:AX165"/>
    <mergeCell ref="D165:M168"/>
    <mergeCell ref="N165:Q168"/>
    <mergeCell ref="AM166:AP168"/>
    <mergeCell ref="AQ166:AT168"/>
    <mergeCell ref="AU166:AX168"/>
    <mergeCell ref="D159:M162"/>
    <mergeCell ref="N159:Q162"/>
    <mergeCell ref="U159:AJ168"/>
    <mergeCell ref="AM159:AP161"/>
    <mergeCell ref="AQ159:AT161"/>
    <mergeCell ref="AU159:AX161"/>
    <mergeCell ref="AM162:AP165"/>
    <mergeCell ref="D171:M174"/>
    <mergeCell ref="N171:Q174"/>
    <mergeCell ref="U171:AJ174"/>
    <mergeCell ref="AM171:BP174"/>
    <mergeCell ref="D195:M198"/>
    <mergeCell ref="N195:Q198"/>
    <mergeCell ref="U195:AJ198"/>
    <mergeCell ref="AM195:BP198"/>
    <mergeCell ref="BI183:BL185"/>
    <mergeCell ref="BM183:BP185"/>
    <mergeCell ref="BE183:BH185"/>
    <mergeCell ref="D189:M192"/>
    <mergeCell ref="N189:Q192"/>
    <mergeCell ref="BE190:BH192"/>
    <mergeCell ref="BI190:BL192"/>
    <mergeCell ref="BM190:BP192"/>
    <mergeCell ref="AM186:AT188"/>
    <mergeCell ref="AU186:BB188"/>
    <mergeCell ref="BE186:BH189"/>
    <mergeCell ref="BI186:BL189"/>
    <mergeCell ref="BM186:BP189"/>
    <mergeCell ref="D183:M186"/>
    <mergeCell ref="N183:Q186"/>
    <mergeCell ref="U183:AJ192"/>
    <mergeCell ref="AM183:AT185"/>
    <mergeCell ref="AU183:BB185"/>
    <mergeCell ref="D266:M269"/>
    <mergeCell ref="N266:Q269"/>
    <mergeCell ref="U266:AJ269"/>
    <mergeCell ref="AM266:BP269"/>
    <mergeCell ref="BE254:BH256"/>
    <mergeCell ref="BI254:BL256"/>
    <mergeCell ref="AY231:BB235"/>
    <mergeCell ref="BE231:BH233"/>
    <mergeCell ref="BI231:BL233"/>
    <mergeCell ref="BM231:BP233"/>
    <mergeCell ref="AM233:AP234"/>
    <mergeCell ref="AQ233:AT234"/>
    <mergeCell ref="BE234:BH237"/>
    <mergeCell ref="BI234:BL237"/>
    <mergeCell ref="BM234:BP237"/>
    <mergeCell ref="AM235:AP236"/>
    <mergeCell ref="N231:Q234"/>
    <mergeCell ref="U231:AJ240"/>
    <mergeCell ref="AM231:AP232"/>
    <mergeCell ref="AQ231:AT232"/>
    <mergeCell ref="AU231:AX235"/>
    <mergeCell ref="AQ235:AT236"/>
    <mergeCell ref="AU236:AX240"/>
    <mergeCell ref="BM254:BP256"/>
    <mergeCell ref="AM256:AT258"/>
    <mergeCell ref="AU256:BB258"/>
    <mergeCell ref="BE257:BH260"/>
    <mergeCell ref="BI257:BL260"/>
    <mergeCell ref="BM257:BP260"/>
    <mergeCell ref="C11:T13"/>
    <mergeCell ref="BE261:BH263"/>
    <mergeCell ref="BI261:BL263"/>
    <mergeCell ref="BM261:BP263"/>
    <mergeCell ref="D219:M222"/>
    <mergeCell ref="N219:Q222"/>
    <mergeCell ref="U219:AJ222"/>
    <mergeCell ref="AM219:BP222"/>
    <mergeCell ref="AR225:BB226"/>
    <mergeCell ref="D227:Q228"/>
    <mergeCell ref="R227:BB228"/>
    <mergeCell ref="D213:M216"/>
    <mergeCell ref="N213:Q216"/>
    <mergeCell ref="AR201:BB202"/>
    <mergeCell ref="D203:Q204"/>
    <mergeCell ref="R203:BB204"/>
    <mergeCell ref="D207:M210"/>
    <mergeCell ref="N207:Q210"/>
    <mergeCell ref="AR249:BB249"/>
    <mergeCell ref="D250:Q251"/>
    <mergeCell ref="R250:BB251"/>
    <mergeCell ref="D254:M257"/>
    <mergeCell ref="N254:Q257"/>
    <mergeCell ref="U254:AJ263"/>
    <mergeCell ref="AM254:AT255"/>
    <mergeCell ref="AU254:BB255"/>
    <mergeCell ref="D260:M263"/>
    <mergeCell ref="N260:Q263"/>
    <mergeCell ref="D117:M120"/>
    <mergeCell ref="N117:Q120"/>
    <mergeCell ref="BE118:BH120"/>
    <mergeCell ref="D243:M246"/>
    <mergeCell ref="N243:Q246"/>
    <mergeCell ref="U243:AJ246"/>
    <mergeCell ref="AM243:BP246"/>
    <mergeCell ref="AY236:BB240"/>
    <mergeCell ref="D237:M240"/>
    <mergeCell ref="N237:Q240"/>
    <mergeCell ref="AM237:AP238"/>
    <mergeCell ref="AQ237:AT238"/>
    <mergeCell ref="BE238:BH240"/>
    <mergeCell ref="BI238:BL240"/>
    <mergeCell ref="AM239:AP240"/>
    <mergeCell ref="AQ239:AT240"/>
    <mergeCell ref="D123:M126"/>
    <mergeCell ref="N123:Q126"/>
    <mergeCell ref="U123:AJ126"/>
    <mergeCell ref="AM123:BP126"/>
    <mergeCell ref="BM238:BP240"/>
    <mergeCell ref="D231:M234"/>
    <mergeCell ref="U207:AJ216"/>
    <mergeCell ref="AN207:BB216"/>
    <mergeCell ref="AM48:AN48"/>
    <mergeCell ref="U111:AJ112"/>
    <mergeCell ref="U116:AJ117"/>
    <mergeCell ref="U118:AJ120"/>
    <mergeCell ref="U113:AJ115"/>
    <mergeCell ref="AR105:BB106"/>
    <mergeCell ref="AM111:BB120"/>
    <mergeCell ref="BE111:BH113"/>
    <mergeCell ref="BE114:BH117"/>
    <mergeCell ref="U89:AB91"/>
    <mergeCell ref="AC89:AJ91"/>
    <mergeCell ref="BE63:BH65"/>
    <mergeCell ref="D83:Q84"/>
    <mergeCell ref="R83:BB84"/>
    <mergeCell ref="D107:Q108"/>
    <mergeCell ref="R107:BB108"/>
    <mergeCell ref="D111:M114"/>
    <mergeCell ref="N111:Q114"/>
    <mergeCell ref="D99:M102"/>
    <mergeCell ref="N99:Q102"/>
    <mergeCell ref="U99:AJ102"/>
    <mergeCell ref="AM99:BP102"/>
  </mergeCells>
  <phoneticPr fontId="2"/>
  <conditionalFormatting sqref="A29:XFD30 A28:BI28 BR28:XFD28">
    <cfRule type="expression" dxfId="5" priority="1">
      <formula>$BB$25="○"</formula>
    </cfRule>
  </conditionalFormatting>
  <printOptions horizontalCentered="1"/>
  <pageMargins left="0.51181102362204722" right="0.51181102362204722" top="0.55118110236220474" bottom="0.55118110236220474" header="0.31496062992125984" footer="0.31496062992125984"/>
  <pageSetup paperSize="9" scale="45" fitToHeight="0" orientation="portrait" r:id="rId1"/>
  <rowBreaks count="3" manualBreakCount="3">
    <brk id="80" max="69" man="1"/>
    <brk id="152" max="69" man="1"/>
    <brk id="248" max="69"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7B3A7-E6B9-498E-A65F-0E7E2726D018}">
  <sheetPr>
    <pageSetUpPr fitToPage="1"/>
  </sheetPr>
  <dimension ref="A1:CE298"/>
  <sheetViews>
    <sheetView showZeros="0" zoomScale="55" zoomScaleNormal="55" workbookViewId="0">
      <selection activeCell="BM20" sqref="BM20:BM21"/>
    </sheetView>
  </sheetViews>
  <sheetFormatPr defaultColWidth="2.875" defaultRowHeight="12.6" customHeight="1" x14ac:dyDescent="0.4"/>
  <cols>
    <col min="1" max="70" width="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63" t="s">
        <v>0</v>
      </c>
      <c r="D8" s="264"/>
      <c r="E8" s="264"/>
      <c r="F8" s="264"/>
      <c r="G8" s="264"/>
      <c r="H8" s="264"/>
      <c r="I8" s="264"/>
      <c r="J8" s="264"/>
      <c r="K8" s="264"/>
      <c r="L8" s="264"/>
      <c r="M8" s="264"/>
      <c r="N8" s="264"/>
      <c r="O8" s="264"/>
      <c r="P8" s="264"/>
      <c r="Q8" s="264"/>
      <c r="R8" s="264"/>
      <c r="S8" s="264"/>
      <c r="T8" s="264"/>
      <c r="U8" s="265" t="s">
        <v>1</v>
      </c>
      <c r="V8" s="266"/>
      <c r="W8" s="266"/>
      <c r="X8" s="266"/>
      <c r="Y8" s="266"/>
      <c r="Z8" s="266"/>
      <c r="AA8" s="266"/>
      <c r="AB8" s="266"/>
      <c r="AC8" s="266"/>
      <c r="AD8" s="266"/>
      <c r="AE8" s="266"/>
      <c r="AF8" s="266"/>
      <c r="AG8" s="266"/>
      <c r="AH8" s="266"/>
      <c r="AI8" s="266"/>
      <c r="AJ8" s="266"/>
      <c r="AK8" s="266"/>
      <c r="AL8" s="266"/>
      <c r="AM8" s="266"/>
      <c r="AN8" s="267"/>
      <c r="AO8" s="268" t="s">
        <v>2</v>
      </c>
      <c r="AP8" s="266"/>
      <c r="AQ8" s="266"/>
      <c r="AR8" s="266"/>
      <c r="AS8" s="266"/>
      <c r="AT8" s="266"/>
      <c r="AU8" s="266"/>
      <c r="AV8" s="266"/>
      <c r="AW8" s="266"/>
      <c r="AX8" s="266"/>
      <c r="AY8" s="266"/>
      <c r="AZ8" s="266"/>
      <c r="BA8" s="266"/>
      <c r="BB8" s="266"/>
      <c r="BC8" s="266"/>
      <c r="BD8" s="266"/>
      <c r="BE8" s="267"/>
      <c r="BF8" s="263" t="s">
        <v>3</v>
      </c>
      <c r="BG8" s="269"/>
      <c r="BH8" s="269"/>
      <c r="BI8" s="269"/>
      <c r="BJ8" s="269"/>
      <c r="BK8" s="269"/>
      <c r="BL8" s="269"/>
      <c r="BM8" s="269"/>
      <c r="BN8" s="269"/>
      <c r="BO8" s="269"/>
      <c r="BP8" s="269"/>
      <c r="BQ8" s="8"/>
    </row>
    <row r="9" spans="3:70" ht="15.6" customHeight="1" x14ac:dyDescent="0.4">
      <c r="C9" s="264"/>
      <c r="D9" s="264"/>
      <c r="E9" s="264"/>
      <c r="F9" s="264"/>
      <c r="G9" s="264"/>
      <c r="H9" s="264"/>
      <c r="I9" s="264"/>
      <c r="J9" s="264"/>
      <c r="K9" s="264"/>
      <c r="L9" s="264"/>
      <c r="M9" s="264"/>
      <c r="N9" s="264"/>
      <c r="O9" s="264"/>
      <c r="P9" s="264"/>
      <c r="Q9" s="264"/>
      <c r="R9" s="264"/>
      <c r="S9" s="264"/>
      <c r="T9" s="264"/>
      <c r="U9" s="219"/>
      <c r="V9" s="217"/>
      <c r="W9" s="217"/>
      <c r="X9" s="217"/>
      <c r="Y9" s="217"/>
      <c r="Z9" s="217"/>
      <c r="AA9" s="217"/>
      <c r="AB9" s="217"/>
      <c r="AC9" s="217"/>
      <c r="AD9" s="217"/>
      <c r="AE9" s="217"/>
      <c r="AF9" s="217"/>
      <c r="AG9" s="217"/>
      <c r="AH9" s="217"/>
      <c r="AI9" s="217"/>
      <c r="AJ9" s="217"/>
      <c r="AK9" s="217"/>
      <c r="AL9" s="217"/>
      <c r="AM9" s="217"/>
      <c r="AN9" s="218"/>
      <c r="AO9" s="219"/>
      <c r="AP9" s="217"/>
      <c r="AQ9" s="217"/>
      <c r="AR9" s="217"/>
      <c r="AS9" s="217"/>
      <c r="AT9" s="217"/>
      <c r="AU9" s="217"/>
      <c r="AV9" s="217"/>
      <c r="AW9" s="217"/>
      <c r="AX9" s="217"/>
      <c r="AY9" s="217"/>
      <c r="AZ9" s="217"/>
      <c r="BA9" s="217"/>
      <c r="BB9" s="217"/>
      <c r="BC9" s="217"/>
      <c r="BD9" s="217"/>
      <c r="BE9" s="218"/>
      <c r="BF9" s="269"/>
      <c r="BG9" s="269"/>
      <c r="BH9" s="269"/>
      <c r="BI9" s="269"/>
      <c r="BJ9" s="269"/>
      <c r="BK9" s="269"/>
      <c r="BL9" s="269"/>
      <c r="BM9" s="269"/>
      <c r="BN9" s="269"/>
      <c r="BO9" s="269"/>
      <c r="BP9" s="269"/>
      <c r="BQ9" s="8"/>
    </row>
    <row r="10" spans="3:70" ht="15.6" customHeight="1" x14ac:dyDescent="0.4">
      <c r="C10" s="264"/>
      <c r="D10" s="264"/>
      <c r="E10" s="264"/>
      <c r="F10" s="264"/>
      <c r="G10" s="264"/>
      <c r="H10" s="264"/>
      <c r="I10" s="264"/>
      <c r="J10" s="264"/>
      <c r="K10" s="264"/>
      <c r="L10" s="264"/>
      <c r="M10" s="264"/>
      <c r="N10" s="264"/>
      <c r="O10" s="264"/>
      <c r="P10" s="264"/>
      <c r="Q10" s="264"/>
      <c r="R10" s="264"/>
      <c r="S10" s="264"/>
      <c r="T10" s="264"/>
      <c r="U10" s="220"/>
      <c r="V10" s="221"/>
      <c r="W10" s="221"/>
      <c r="X10" s="221"/>
      <c r="Y10" s="221"/>
      <c r="Z10" s="221"/>
      <c r="AA10" s="221"/>
      <c r="AB10" s="221"/>
      <c r="AC10" s="221"/>
      <c r="AD10" s="221"/>
      <c r="AE10" s="221"/>
      <c r="AF10" s="221"/>
      <c r="AG10" s="221"/>
      <c r="AH10" s="221"/>
      <c r="AI10" s="221"/>
      <c r="AJ10" s="221"/>
      <c r="AK10" s="221"/>
      <c r="AL10" s="221"/>
      <c r="AM10" s="221"/>
      <c r="AN10" s="222"/>
      <c r="AO10" s="220"/>
      <c r="AP10" s="221"/>
      <c r="AQ10" s="221"/>
      <c r="AR10" s="221"/>
      <c r="AS10" s="221"/>
      <c r="AT10" s="221"/>
      <c r="AU10" s="221"/>
      <c r="AV10" s="221"/>
      <c r="AW10" s="221"/>
      <c r="AX10" s="221"/>
      <c r="AY10" s="221"/>
      <c r="AZ10" s="221"/>
      <c r="BA10" s="221"/>
      <c r="BB10" s="221"/>
      <c r="BC10" s="221"/>
      <c r="BD10" s="221"/>
      <c r="BE10" s="222"/>
      <c r="BF10" s="269"/>
      <c r="BG10" s="269"/>
      <c r="BH10" s="269"/>
      <c r="BI10" s="269"/>
      <c r="BJ10" s="269"/>
      <c r="BK10" s="269"/>
      <c r="BL10" s="269"/>
      <c r="BM10" s="269"/>
      <c r="BN10" s="269"/>
      <c r="BO10" s="269"/>
      <c r="BP10" s="269"/>
      <c r="BQ10" s="8"/>
    </row>
    <row r="11" spans="3:70" ht="15.6" customHeight="1" x14ac:dyDescent="0.4">
      <c r="C11" s="270" t="str">
        <f>IF(COUNTIF([6]回答表!K15,"*")&gt;0,[6]回答表!K15,"")</f>
        <v>大館市</v>
      </c>
      <c r="D11" s="264"/>
      <c r="E11" s="264"/>
      <c r="F11" s="264"/>
      <c r="G11" s="264"/>
      <c r="H11" s="264"/>
      <c r="I11" s="264"/>
      <c r="J11" s="264"/>
      <c r="K11" s="264"/>
      <c r="L11" s="264"/>
      <c r="M11" s="264"/>
      <c r="N11" s="264"/>
      <c r="O11" s="264"/>
      <c r="P11" s="264"/>
      <c r="Q11" s="264"/>
      <c r="R11" s="264"/>
      <c r="S11" s="264"/>
      <c r="T11" s="264"/>
      <c r="U11" s="271" t="str">
        <f>IF(COUNTIF([6]回答表!F17,"*")&gt;0,[6]回答表!F17,"")</f>
        <v>介護サービス事業</v>
      </c>
      <c r="V11" s="272"/>
      <c r="W11" s="272"/>
      <c r="X11" s="272"/>
      <c r="Y11" s="272"/>
      <c r="Z11" s="272"/>
      <c r="AA11" s="272"/>
      <c r="AB11" s="272"/>
      <c r="AC11" s="272"/>
      <c r="AD11" s="272"/>
      <c r="AE11" s="272"/>
      <c r="AF11" s="266"/>
      <c r="AG11" s="266"/>
      <c r="AH11" s="266"/>
      <c r="AI11" s="266"/>
      <c r="AJ11" s="266"/>
      <c r="AK11" s="266"/>
      <c r="AL11" s="266"/>
      <c r="AM11" s="266"/>
      <c r="AN11" s="267"/>
      <c r="AO11" s="277" t="str">
        <f>IF(COUNTIF([6]回答表!W17,"*")&gt;0,[6]回答表!W17,"")</f>
        <v>指定介護老人福祉施設</v>
      </c>
      <c r="AP11" s="266"/>
      <c r="AQ11" s="266"/>
      <c r="AR11" s="266"/>
      <c r="AS11" s="266"/>
      <c r="AT11" s="266"/>
      <c r="AU11" s="266"/>
      <c r="AV11" s="266"/>
      <c r="AW11" s="266"/>
      <c r="AX11" s="266"/>
      <c r="AY11" s="266"/>
      <c r="AZ11" s="266"/>
      <c r="BA11" s="266"/>
      <c r="BB11" s="266"/>
      <c r="BC11" s="266"/>
      <c r="BD11" s="266"/>
      <c r="BE11" s="267"/>
      <c r="BF11" s="270" t="str">
        <f>IF(COUNTIF([6]回答表!F19,"*")&gt;0,[6]回答表!F19,"")</f>
        <v>介護サービス事業特別会計</v>
      </c>
      <c r="BG11" s="269"/>
      <c r="BH11" s="269"/>
      <c r="BI11" s="269"/>
      <c r="BJ11" s="269"/>
      <c r="BK11" s="269"/>
      <c r="BL11" s="269"/>
      <c r="BM11" s="269"/>
      <c r="BN11" s="269"/>
      <c r="BO11" s="269"/>
      <c r="BP11" s="269"/>
      <c r="BQ11" s="6"/>
    </row>
    <row r="12" spans="3:70" ht="15.6" customHeight="1" x14ac:dyDescent="0.4">
      <c r="C12" s="264"/>
      <c r="D12" s="264"/>
      <c r="E12" s="264"/>
      <c r="F12" s="264"/>
      <c r="G12" s="264"/>
      <c r="H12" s="264"/>
      <c r="I12" s="264"/>
      <c r="J12" s="264"/>
      <c r="K12" s="264"/>
      <c r="L12" s="264"/>
      <c r="M12" s="264"/>
      <c r="N12" s="264"/>
      <c r="O12" s="264"/>
      <c r="P12" s="264"/>
      <c r="Q12" s="264"/>
      <c r="R12" s="264"/>
      <c r="S12" s="264"/>
      <c r="T12" s="264"/>
      <c r="U12" s="273"/>
      <c r="V12" s="274"/>
      <c r="W12" s="274"/>
      <c r="X12" s="274"/>
      <c r="Y12" s="274"/>
      <c r="Z12" s="274"/>
      <c r="AA12" s="274"/>
      <c r="AB12" s="274"/>
      <c r="AC12" s="274"/>
      <c r="AD12" s="274"/>
      <c r="AE12" s="274"/>
      <c r="AF12" s="217"/>
      <c r="AG12" s="217"/>
      <c r="AH12" s="217"/>
      <c r="AI12" s="217"/>
      <c r="AJ12" s="217"/>
      <c r="AK12" s="217"/>
      <c r="AL12" s="217"/>
      <c r="AM12" s="217"/>
      <c r="AN12" s="218"/>
      <c r="AO12" s="219"/>
      <c r="AP12" s="217"/>
      <c r="AQ12" s="217"/>
      <c r="AR12" s="217"/>
      <c r="AS12" s="217"/>
      <c r="AT12" s="217"/>
      <c r="AU12" s="217"/>
      <c r="AV12" s="217"/>
      <c r="AW12" s="217"/>
      <c r="AX12" s="217"/>
      <c r="AY12" s="217"/>
      <c r="AZ12" s="217"/>
      <c r="BA12" s="217"/>
      <c r="BB12" s="217"/>
      <c r="BC12" s="217"/>
      <c r="BD12" s="217"/>
      <c r="BE12" s="218"/>
      <c r="BF12" s="269"/>
      <c r="BG12" s="269"/>
      <c r="BH12" s="269"/>
      <c r="BI12" s="269"/>
      <c r="BJ12" s="269"/>
      <c r="BK12" s="269"/>
      <c r="BL12" s="269"/>
      <c r="BM12" s="269"/>
      <c r="BN12" s="269"/>
      <c r="BO12" s="269"/>
      <c r="BP12" s="269"/>
      <c r="BQ12" s="6"/>
    </row>
    <row r="13" spans="3:70" ht="15.6" customHeight="1" x14ac:dyDescent="0.4">
      <c r="C13" s="264"/>
      <c r="D13" s="264"/>
      <c r="E13" s="264"/>
      <c r="F13" s="264"/>
      <c r="G13" s="264"/>
      <c r="H13" s="264"/>
      <c r="I13" s="264"/>
      <c r="J13" s="264"/>
      <c r="K13" s="264"/>
      <c r="L13" s="264"/>
      <c r="M13" s="264"/>
      <c r="N13" s="264"/>
      <c r="O13" s="264"/>
      <c r="P13" s="264"/>
      <c r="Q13" s="264"/>
      <c r="R13" s="264"/>
      <c r="S13" s="264"/>
      <c r="T13" s="264"/>
      <c r="U13" s="275"/>
      <c r="V13" s="276"/>
      <c r="W13" s="276"/>
      <c r="X13" s="276"/>
      <c r="Y13" s="276"/>
      <c r="Z13" s="276"/>
      <c r="AA13" s="276"/>
      <c r="AB13" s="276"/>
      <c r="AC13" s="276"/>
      <c r="AD13" s="276"/>
      <c r="AE13" s="276"/>
      <c r="AF13" s="221"/>
      <c r="AG13" s="221"/>
      <c r="AH13" s="221"/>
      <c r="AI13" s="221"/>
      <c r="AJ13" s="221"/>
      <c r="AK13" s="221"/>
      <c r="AL13" s="221"/>
      <c r="AM13" s="221"/>
      <c r="AN13" s="222"/>
      <c r="AO13" s="220"/>
      <c r="AP13" s="221"/>
      <c r="AQ13" s="221"/>
      <c r="AR13" s="221"/>
      <c r="AS13" s="221"/>
      <c r="AT13" s="221"/>
      <c r="AU13" s="221"/>
      <c r="AV13" s="221"/>
      <c r="AW13" s="221"/>
      <c r="AX13" s="221"/>
      <c r="AY13" s="221"/>
      <c r="AZ13" s="221"/>
      <c r="BA13" s="221"/>
      <c r="BB13" s="221"/>
      <c r="BC13" s="221"/>
      <c r="BD13" s="221"/>
      <c r="BE13" s="222"/>
      <c r="BF13" s="269"/>
      <c r="BG13" s="269"/>
      <c r="BH13" s="269"/>
      <c r="BI13" s="269"/>
      <c r="BJ13" s="269"/>
      <c r="BK13" s="269"/>
      <c r="BL13" s="269"/>
      <c r="BM13" s="269"/>
      <c r="BN13" s="269"/>
      <c r="BO13" s="269"/>
      <c r="BP13" s="269"/>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30" t="s">
        <v>4</v>
      </c>
      <c r="E18" s="231"/>
      <c r="F18" s="231"/>
      <c r="G18" s="231"/>
      <c r="H18" s="231"/>
      <c r="I18" s="231"/>
      <c r="J18" s="231"/>
      <c r="K18" s="231"/>
      <c r="L18" s="231"/>
      <c r="M18" s="231"/>
      <c r="N18" s="231"/>
      <c r="O18" s="231"/>
      <c r="P18" s="231"/>
      <c r="Q18" s="231"/>
      <c r="R18" s="231"/>
      <c r="S18" s="231"/>
      <c r="T18" s="231"/>
      <c r="U18" s="231"/>
      <c r="V18" s="231"/>
      <c r="W18" s="231"/>
      <c r="X18" s="231"/>
      <c r="Y18" s="231"/>
      <c r="Z18" s="231"/>
      <c r="AA18" s="231"/>
      <c r="AB18" s="231"/>
      <c r="AC18" s="231"/>
      <c r="AD18" s="231"/>
      <c r="AE18" s="231"/>
      <c r="AF18" s="231"/>
      <c r="AG18" s="231"/>
      <c r="AH18" s="231"/>
      <c r="AI18" s="231"/>
      <c r="AJ18" s="231"/>
      <c r="AK18" s="231"/>
      <c r="AL18" s="231"/>
      <c r="AM18" s="231"/>
      <c r="AN18" s="231"/>
      <c r="AO18" s="231"/>
      <c r="AP18" s="231"/>
      <c r="AQ18" s="231"/>
      <c r="AR18" s="231"/>
      <c r="AS18" s="231"/>
      <c r="AT18" s="231"/>
      <c r="AU18" s="231"/>
      <c r="AV18" s="231"/>
      <c r="AW18" s="231"/>
      <c r="AX18" s="231"/>
      <c r="AY18" s="231"/>
      <c r="AZ18" s="232"/>
      <c r="BA18" s="15"/>
      <c r="BB18" s="15"/>
      <c r="BC18" s="15"/>
      <c r="BD18" s="15"/>
      <c r="BE18" s="15"/>
      <c r="BF18" s="15"/>
      <c r="BG18" s="15"/>
      <c r="BH18" s="15"/>
      <c r="BI18" s="15"/>
      <c r="BJ18" s="15"/>
      <c r="BK18" s="16"/>
      <c r="BR18" s="13"/>
    </row>
    <row r="19" spans="3:83" ht="15.6" customHeight="1" x14ac:dyDescent="0.4">
      <c r="C19" s="14"/>
      <c r="D19" s="233"/>
      <c r="E19" s="234"/>
      <c r="F19" s="234"/>
      <c r="G19" s="234"/>
      <c r="H19" s="234"/>
      <c r="I19" s="234"/>
      <c r="J19" s="234"/>
      <c r="K19" s="234"/>
      <c r="L19" s="234"/>
      <c r="M19" s="234"/>
      <c r="N19" s="234"/>
      <c r="O19" s="234"/>
      <c r="P19" s="234"/>
      <c r="Q19" s="234"/>
      <c r="R19" s="234"/>
      <c r="S19" s="234"/>
      <c r="T19" s="234"/>
      <c r="U19" s="234"/>
      <c r="V19" s="234"/>
      <c r="W19" s="234"/>
      <c r="X19" s="234"/>
      <c r="Y19" s="234"/>
      <c r="Z19" s="234"/>
      <c r="AA19" s="234"/>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5"/>
      <c r="BA19" s="15"/>
      <c r="BB19" s="15"/>
      <c r="BC19" s="15"/>
      <c r="BD19" s="15"/>
      <c r="BE19" s="15"/>
      <c r="BF19" s="15"/>
      <c r="BG19" s="15"/>
      <c r="BH19" s="15"/>
      <c r="BI19" s="15"/>
      <c r="BJ19" s="15"/>
      <c r="BK19" s="16"/>
      <c r="BR19" s="13"/>
    </row>
    <row r="20" spans="3:83" ht="13.35" customHeight="1" x14ac:dyDescent="0.4">
      <c r="C20" s="14"/>
      <c r="D20" s="236" t="s">
        <v>5</v>
      </c>
      <c r="E20" s="237"/>
      <c r="F20" s="237"/>
      <c r="G20" s="237"/>
      <c r="H20" s="237"/>
      <c r="I20" s="237"/>
      <c r="J20" s="238"/>
      <c r="K20" s="236" t="s">
        <v>6</v>
      </c>
      <c r="L20" s="237"/>
      <c r="M20" s="237"/>
      <c r="N20" s="237"/>
      <c r="O20" s="237"/>
      <c r="P20" s="237"/>
      <c r="Q20" s="238"/>
      <c r="R20" s="236" t="s">
        <v>7</v>
      </c>
      <c r="S20" s="237"/>
      <c r="T20" s="237"/>
      <c r="U20" s="237"/>
      <c r="V20" s="237"/>
      <c r="W20" s="237"/>
      <c r="X20" s="238"/>
      <c r="Y20" s="245" t="s">
        <v>8</v>
      </c>
      <c r="Z20" s="246"/>
      <c r="AA20" s="246"/>
      <c r="AB20" s="246"/>
      <c r="AC20" s="246"/>
      <c r="AD20" s="246"/>
      <c r="AE20" s="246"/>
      <c r="AF20" s="246"/>
      <c r="AG20" s="246"/>
      <c r="AH20" s="246"/>
      <c r="AI20" s="246"/>
      <c r="AJ20" s="246"/>
      <c r="AK20" s="246"/>
      <c r="AL20" s="246"/>
      <c r="AM20" s="246"/>
      <c r="AN20" s="246"/>
      <c r="AO20" s="246"/>
      <c r="AP20" s="246"/>
      <c r="AQ20" s="246"/>
      <c r="AR20" s="246"/>
      <c r="AS20" s="246"/>
      <c r="AT20" s="246"/>
      <c r="AU20" s="246"/>
      <c r="AV20" s="246"/>
      <c r="AW20" s="246"/>
      <c r="AX20" s="246"/>
      <c r="AY20" s="246"/>
      <c r="AZ20" s="247"/>
      <c r="BA20" s="17"/>
      <c r="BB20" s="254" t="s">
        <v>9</v>
      </c>
      <c r="BC20" s="255"/>
      <c r="BD20" s="255"/>
      <c r="BE20" s="255"/>
      <c r="BF20" s="255"/>
      <c r="BG20" s="255"/>
      <c r="BH20" s="255"/>
      <c r="BI20" s="223"/>
      <c r="BJ20" s="224"/>
      <c r="BK20" s="16"/>
      <c r="BR20" s="18"/>
    </row>
    <row r="21" spans="3:83" ht="13.35" customHeight="1" x14ac:dyDescent="0.4">
      <c r="C21" s="14"/>
      <c r="D21" s="239"/>
      <c r="E21" s="240"/>
      <c r="F21" s="240"/>
      <c r="G21" s="240"/>
      <c r="H21" s="240"/>
      <c r="I21" s="240"/>
      <c r="J21" s="241"/>
      <c r="K21" s="239"/>
      <c r="L21" s="240"/>
      <c r="M21" s="240"/>
      <c r="N21" s="240"/>
      <c r="O21" s="240"/>
      <c r="P21" s="240"/>
      <c r="Q21" s="241"/>
      <c r="R21" s="239"/>
      <c r="S21" s="240"/>
      <c r="T21" s="240"/>
      <c r="U21" s="240"/>
      <c r="V21" s="240"/>
      <c r="W21" s="240"/>
      <c r="X21" s="241"/>
      <c r="Y21" s="248"/>
      <c r="Z21" s="249"/>
      <c r="AA21" s="249"/>
      <c r="AB21" s="249"/>
      <c r="AC21" s="249"/>
      <c r="AD21" s="249"/>
      <c r="AE21" s="249"/>
      <c r="AF21" s="249"/>
      <c r="AG21" s="249"/>
      <c r="AH21" s="249"/>
      <c r="AI21" s="249"/>
      <c r="AJ21" s="249"/>
      <c r="AK21" s="249"/>
      <c r="AL21" s="249"/>
      <c r="AM21" s="249"/>
      <c r="AN21" s="249"/>
      <c r="AO21" s="249"/>
      <c r="AP21" s="249"/>
      <c r="AQ21" s="249"/>
      <c r="AR21" s="249"/>
      <c r="AS21" s="249"/>
      <c r="AT21" s="249"/>
      <c r="AU21" s="249"/>
      <c r="AV21" s="249"/>
      <c r="AW21" s="249"/>
      <c r="AX21" s="249"/>
      <c r="AY21" s="249"/>
      <c r="AZ21" s="250"/>
      <c r="BA21" s="17"/>
      <c r="BB21" s="256"/>
      <c r="BC21" s="257"/>
      <c r="BD21" s="257"/>
      <c r="BE21" s="257"/>
      <c r="BF21" s="257"/>
      <c r="BG21" s="257"/>
      <c r="BH21" s="257"/>
      <c r="BI21" s="225"/>
      <c r="BJ21" s="226"/>
      <c r="BK21" s="16"/>
      <c r="BR21" s="18"/>
    </row>
    <row r="22" spans="3:83" ht="13.35" customHeight="1" x14ac:dyDescent="0.4">
      <c r="C22" s="14"/>
      <c r="D22" s="239"/>
      <c r="E22" s="240"/>
      <c r="F22" s="240"/>
      <c r="G22" s="240"/>
      <c r="H22" s="240"/>
      <c r="I22" s="240"/>
      <c r="J22" s="241"/>
      <c r="K22" s="239"/>
      <c r="L22" s="240"/>
      <c r="M22" s="240"/>
      <c r="N22" s="240"/>
      <c r="O22" s="240"/>
      <c r="P22" s="240"/>
      <c r="Q22" s="241"/>
      <c r="R22" s="239"/>
      <c r="S22" s="240"/>
      <c r="T22" s="240"/>
      <c r="U22" s="240"/>
      <c r="V22" s="240"/>
      <c r="W22" s="240"/>
      <c r="X22" s="241"/>
      <c r="Y22" s="251"/>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3"/>
      <c r="BA22" s="19"/>
      <c r="BB22" s="256"/>
      <c r="BC22" s="257"/>
      <c r="BD22" s="257"/>
      <c r="BE22" s="257"/>
      <c r="BF22" s="257"/>
      <c r="BG22" s="257"/>
      <c r="BH22" s="257"/>
      <c r="BI22" s="225"/>
      <c r="BJ22" s="226"/>
      <c r="BK22" s="16"/>
      <c r="BR22" s="18"/>
    </row>
    <row r="23" spans="3:83" ht="31.35" customHeight="1" x14ac:dyDescent="0.4">
      <c r="C23" s="14"/>
      <c r="D23" s="242"/>
      <c r="E23" s="243"/>
      <c r="F23" s="243"/>
      <c r="G23" s="243"/>
      <c r="H23" s="243"/>
      <c r="I23" s="243"/>
      <c r="J23" s="244"/>
      <c r="K23" s="242"/>
      <c r="L23" s="243"/>
      <c r="M23" s="243"/>
      <c r="N23" s="243"/>
      <c r="O23" s="243"/>
      <c r="P23" s="243"/>
      <c r="Q23" s="244"/>
      <c r="R23" s="242"/>
      <c r="S23" s="243"/>
      <c r="T23" s="243"/>
      <c r="U23" s="243"/>
      <c r="V23" s="243"/>
      <c r="W23" s="243"/>
      <c r="X23" s="244"/>
      <c r="Y23" s="260" t="s">
        <v>10</v>
      </c>
      <c r="Z23" s="261"/>
      <c r="AA23" s="261"/>
      <c r="AB23" s="261"/>
      <c r="AC23" s="261"/>
      <c r="AD23" s="261"/>
      <c r="AE23" s="262"/>
      <c r="AF23" s="260" t="s">
        <v>11</v>
      </c>
      <c r="AG23" s="261"/>
      <c r="AH23" s="261"/>
      <c r="AI23" s="261"/>
      <c r="AJ23" s="261"/>
      <c r="AK23" s="261"/>
      <c r="AL23" s="262"/>
      <c r="AM23" s="260" t="s">
        <v>12</v>
      </c>
      <c r="AN23" s="261"/>
      <c r="AO23" s="261"/>
      <c r="AP23" s="261"/>
      <c r="AQ23" s="261"/>
      <c r="AR23" s="261"/>
      <c r="AS23" s="262"/>
      <c r="AT23" s="260" t="s">
        <v>13</v>
      </c>
      <c r="AU23" s="261"/>
      <c r="AV23" s="261"/>
      <c r="AW23" s="261"/>
      <c r="AX23" s="261"/>
      <c r="AY23" s="261"/>
      <c r="AZ23" s="262"/>
      <c r="BA23" s="19"/>
      <c r="BB23" s="258"/>
      <c r="BC23" s="259"/>
      <c r="BD23" s="259"/>
      <c r="BE23" s="259"/>
      <c r="BF23" s="259"/>
      <c r="BG23" s="259"/>
      <c r="BH23" s="259"/>
      <c r="BI23" s="227"/>
      <c r="BJ23" s="228"/>
      <c r="BK23" s="16"/>
      <c r="BR23" s="18"/>
    </row>
    <row r="24" spans="3:83" ht="15.6" customHeight="1" x14ac:dyDescent="0.4">
      <c r="C24" s="14"/>
      <c r="D24" s="121" t="str">
        <f>IF([6]回答表!R41="○","○","")</f>
        <v/>
      </c>
      <c r="E24" s="122"/>
      <c r="F24" s="122"/>
      <c r="G24" s="122"/>
      <c r="H24" s="122"/>
      <c r="I24" s="122"/>
      <c r="J24" s="123"/>
      <c r="K24" s="121" t="str">
        <f>IF([6]回答表!R42="○","○","")</f>
        <v>○</v>
      </c>
      <c r="L24" s="122"/>
      <c r="M24" s="122"/>
      <c r="N24" s="122"/>
      <c r="O24" s="122"/>
      <c r="P24" s="122"/>
      <c r="Q24" s="123"/>
      <c r="R24" s="121" t="str">
        <f>IF([6]回答表!R43="○","○","")</f>
        <v/>
      </c>
      <c r="S24" s="122"/>
      <c r="T24" s="122"/>
      <c r="U24" s="122"/>
      <c r="V24" s="122"/>
      <c r="W24" s="122"/>
      <c r="X24" s="123"/>
      <c r="Y24" s="121" t="str">
        <f>IF([6]回答表!R44="○","○","")</f>
        <v>○</v>
      </c>
      <c r="Z24" s="122"/>
      <c r="AA24" s="122"/>
      <c r="AB24" s="122"/>
      <c r="AC24" s="122"/>
      <c r="AD24" s="122"/>
      <c r="AE24" s="123"/>
      <c r="AF24" s="121" t="str">
        <f>IF([6]回答表!R45="○","○","")</f>
        <v/>
      </c>
      <c r="AG24" s="122"/>
      <c r="AH24" s="122"/>
      <c r="AI24" s="122"/>
      <c r="AJ24" s="122"/>
      <c r="AK24" s="122"/>
      <c r="AL24" s="123"/>
      <c r="AM24" s="121" t="str">
        <f>IF([6]回答表!R46="○","○","")</f>
        <v/>
      </c>
      <c r="AN24" s="122"/>
      <c r="AO24" s="122"/>
      <c r="AP24" s="122"/>
      <c r="AQ24" s="122"/>
      <c r="AR24" s="122"/>
      <c r="AS24" s="123"/>
      <c r="AT24" s="121" t="str">
        <f>IF([6]回答表!R47="○","○","")</f>
        <v/>
      </c>
      <c r="AU24" s="122"/>
      <c r="AV24" s="122"/>
      <c r="AW24" s="122"/>
      <c r="AX24" s="122"/>
      <c r="AY24" s="122"/>
      <c r="AZ24" s="123"/>
      <c r="BA24" s="19"/>
      <c r="BB24" s="118" t="str">
        <f>IF([6]回答表!R48="○","○","")</f>
        <v/>
      </c>
      <c r="BC24" s="119"/>
      <c r="BD24" s="119"/>
      <c r="BE24" s="119"/>
      <c r="BF24" s="119"/>
      <c r="BG24" s="119"/>
      <c r="BH24" s="119"/>
      <c r="BI24" s="223"/>
      <c r="BJ24" s="224"/>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25"/>
      <c r="BJ25" s="226"/>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27"/>
      <c r="BJ26" s="228"/>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IF([6]回答表!X41="○","○","")</f>
        <v/>
      </c>
      <c r="O36" s="98"/>
      <c r="P36" s="98"/>
      <c r="Q36" s="99"/>
      <c r="R36" s="39"/>
      <c r="S36" s="39"/>
      <c r="T36" s="39"/>
      <c r="U36" s="106" t="str">
        <f>IF([6]回答表!X41="○",[6]回答表!B56,IF([6]回答表!AA41="○",[6]回答表!B76,""))</f>
        <v/>
      </c>
      <c r="V36" s="107"/>
      <c r="W36" s="107"/>
      <c r="X36" s="107"/>
      <c r="Y36" s="107"/>
      <c r="Z36" s="107"/>
      <c r="AA36" s="107"/>
      <c r="AB36" s="107"/>
      <c r="AC36" s="107"/>
      <c r="AD36" s="107"/>
      <c r="AE36" s="107"/>
      <c r="AF36" s="107"/>
      <c r="AG36" s="107"/>
      <c r="AH36" s="107"/>
      <c r="AI36" s="107"/>
      <c r="AJ36" s="108"/>
      <c r="AK36" s="50"/>
      <c r="AL36" s="50"/>
      <c r="AM36" s="229" t="s">
        <v>19</v>
      </c>
      <c r="AN36" s="229"/>
      <c r="AO36" s="229"/>
      <c r="AP36" s="229"/>
      <c r="AQ36" s="229"/>
      <c r="AR36" s="229"/>
      <c r="AS36" s="229"/>
      <c r="AT36" s="229"/>
      <c r="AU36" s="229" t="s">
        <v>20</v>
      </c>
      <c r="AV36" s="229"/>
      <c r="AW36" s="229"/>
      <c r="AX36" s="229"/>
      <c r="AY36" s="229"/>
      <c r="AZ36" s="229"/>
      <c r="BA36" s="229"/>
      <c r="BB36" s="229"/>
      <c r="BC36" s="40"/>
      <c r="BD36" s="35"/>
      <c r="BE36" s="115" t="str">
        <f>IF([6]回答表!X41="○",[6]回答表!S62,IF([6]回答表!AA41="○",[6]回答表!S82,""))</f>
        <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29"/>
      <c r="AN37" s="229"/>
      <c r="AO37" s="229"/>
      <c r="AP37" s="229"/>
      <c r="AQ37" s="229"/>
      <c r="AR37" s="229"/>
      <c r="AS37" s="229"/>
      <c r="AT37" s="229"/>
      <c r="AU37" s="229"/>
      <c r="AV37" s="229"/>
      <c r="AW37" s="229"/>
      <c r="AX37" s="229"/>
      <c r="AY37" s="229"/>
      <c r="AZ37" s="229"/>
      <c r="BA37" s="229"/>
      <c r="BB37" s="229"/>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IF([6]回答表!X41="○",[6]回答表!G62,IF([6]回答表!AA41="○",[6]回答表!G82,""))</f>
        <v/>
      </c>
      <c r="AN38" s="119"/>
      <c r="AO38" s="119"/>
      <c r="AP38" s="119"/>
      <c r="AQ38" s="119"/>
      <c r="AR38" s="119"/>
      <c r="AS38" s="119"/>
      <c r="AT38" s="120"/>
      <c r="AU38" s="118" t="str">
        <f>IF([6]回答表!X41="○",[6]回答表!G63,IF([6]回答表!AA41="○",[6]回答表!G83,""))</f>
        <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t="str">
        <f>IF([6]回答表!X41="○",[6]回答表!V62,IF([6]回答表!AA41="○",[6]回答表!V82,""))</f>
        <v/>
      </c>
      <c r="BF39" s="217"/>
      <c r="BG39" s="217"/>
      <c r="BH39" s="218"/>
      <c r="BI39" s="82" t="str">
        <f>IF([6]回答表!X41="○",[6]回答表!V63,IF([6]回答表!AA41="○",[6]回答表!V83,""))</f>
        <v/>
      </c>
      <c r="BJ39" s="217"/>
      <c r="BK39" s="217"/>
      <c r="BL39" s="218"/>
      <c r="BM39" s="82" t="str">
        <f>IF([6]回答表!X41="○",[6]回答表!V64,IF([6]回答表!AA41="○",[6]回答表!V84,""))</f>
        <v/>
      </c>
      <c r="BN39" s="217"/>
      <c r="BO39" s="217"/>
      <c r="BP39" s="218"/>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19"/>
      <c r="BF40" s="217"/>
      <c r="BG40" s="217"/>
      <c r="BH40" s="218"/>
      <c r="BI40" s="219"/>
      <c r="BJ40" s="217"/>
      <c r="BK40" s="217"/>
      <c r="BL40" s="218"/>
      <c r="BM40" s="219"/>
      <c r="BN40" s="217"/>
      <c r="BO40" s="217"/>
      <c r="BP40" s="218"/>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19"/>
      <c r="BF41" s="217"/>
      <c r="BG41" s="217"/>
      <c r="BH41" s="218"/>
      <c r="BI41" s="219"/>
      <c r="BJ41" s="217"/>
      <c r="BK41" s="217"/>
      <c r="BL41" s="218"/>
      <c r="BM41" s="219"/>
      <c r="BN41" s="217"/>
      <c r="BO41" s="217"/>
      <c r="BP41" s="218"/>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215" t="str">
        <f>IF([6]回答表!X41="○",[6]回答表!O68,IF([6]回答表!AA41="○",[6]回答表!O88,""))</f>
        <v/>
      </c>
      <c r="AN42" s="216"/>
      <c r="AO42" s="213" t="s">
        <v>21</v>
      </c>
      <c r="AP42" s="213"/>
      <c r="AQ42" s="213"/>
      <c r="AR42" s="213"/>
      <c r="AS42" s="213"/>
      <c r="AT42" s="213"/>
      <c r="AU42" s="213"/>
      <c r="AV42" s="213"/>
      <c r="AW42" s="213"/>
      <c r="AX42" s="213"/>
      <c r="AY42" s="213"/>
      <c r="AZ42" s="213"/>
      <c r="BA42" s="213"/>
      <c r="BB42" s="214"/>
      <c r="BC42" s="40"/>
      <c r="BD42" s="40"/>
      <c r="BE42" s="219"/>
      <c r="BF42" s="217"/>
      <c r="BG42" s="217"/>
      <c r="BH42" s="218"/>
      <c r="BI42" s="219"/>
      <c r="BJ42" s="217"/>
      <c r="BK42" s="217"/>
      <c r="BL42" s="218"/>
      <c r="BM42" s="219"/>
      <c r="BN42" s="217"/>
      <c r="BO42" s="217"/>
      <c r="BP42" s="218"/>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215" t="str">
        <f>IF([6]回答表!X41="○",[6]回答表!O69,IF([6]回答表!AA41="○",[6]回答表!O89,""))</f>
        <v/>
      </c>
      <c r="AN43" s="216"/>
      <c r="AO43" s="213" t="s">
        <v>22</v>
      </c>
      <c r="AP43" s="213"/>
      <c r="AQ43" s="213"/>
      <c r="AR43" s="213"/>
      <c r="AS43" s="213"/>
      <c r="AT43" s="213"/>
      <c r="AU43" s="213"/>
      <c r="AV43" s="213"/>
      <c r="AW43" s="213"/>
      <c r="AX43" s="213"/>
      <c r="AY43" s="213"/>
      <c r="AZ43" s="213"/>
      <c r="BA43" s="213"/>
      <c r="BB43" s="214"/>
      <c r="BC43" s="40"/>
      <c r="BD43" s="35"/>
      <c r="BE43" s="82" t="s">
        <v>23</v>
      </c>
      <c r="BF43" s="217"/>
      <c r="BG43" s="217"/>
      <c r="BH43" s="218"/>
      <c r="BI43" s="82" t="s">
        <v>24</v>
      </c>
      <c r="BJ43" s="217"/>
      <c r="BK43" s="217"/>
      <c r="BL43" s="218"/>
      <c r="BM43" s="82" t="s">
        <v>25</v>
      </c>
      <c r="BN43" s="217"/>
      <c r="BO43" s="217"/>
      <c r="BP43" s="218"/>
      <c r="BQ43" s="38"/>
      <c r="BR43" s="25"/>
    </row>
    <row r="44" spans="1:70" ht="15.6" customHeight="1" x14ac:dyDescent="0.4">
      <c r="A44" s="25"/>
      <c r="B44" s="25"/>
      <c r="C44" s="33"/>
      <c r="D44" s="140" t="s">
        <v>26</v>
      </c>
      <c r="E44" s="141"/>
      <c r="F44" s="141"/>
      <c r="G44" s="141"/>
      <c r="H44" s="141"/>
      <c r="I44" s="141"/>
      <c r="J44" s="141"/>
      <c r="K44" s="141"/>
      <c r="L44" s="141"/>
      <c r="M44" s="142"/>
      <c r="N44" s="97" t="str">
        <f>IF([6]回答表!AA41="○","○","")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215" t="str">
        <f>IF([6]回答表!X41="○",[6]回答表!O70,IF([6]回答表!AA41="○",[6]回答表!O90,""))</f>
        <v/>
      </c>
      <c r="AN44" s="216"/>
      <c r="AO44" s="213" t="s">
        <v>27</v>
      </c>
      <c r="AP44" s="213"/>
      <c r="AQ44" s="213"/>
      <c r="AR44" s="213"/>
      <c r="AS44" s="213"/>
      <c r="AT44" s="213"/>
      <c r="AU44" s="213"/>
      <c r="AV44" s="213"/>
      <c r="AW44" s="213"/>
      <c r="AX44" s="213"/>
      <c r="AY44" s="213"/>
      <c r="AZ44" s="213"/>
      <c r="BA44" s="213"/>
      <c r="BB44" s="214"/>
      <c r="BC44" s="40"/>
      <c r="BD44" s="54"/>
      <c r="BE44" s="219"/>
      <c r="BF44" s="217"/>
      <c r="BG44" s="217"/>
      <c r="BH44" s="218"/>
      <c r="BI44" s="219"/>
      <c r="BJ44" s="217"/>
      <c r="BK44" s="217"/>
      <c r="BL44" s="218"/>
      <c r="BM44" s="219"/>
      <c r="BN44" s="217"/>
      <c r="BO44" s="217"/>
      <c r="BP44" s="218"/>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215" t="str">
        <f>IF([6]回答表!X41="○",[6]回答表!O71,IF([6]回答表!AA41="○",[6]回答表!O91,""))</f>
        <v/>
      </c>
      <c r="AN45" s="216"/>
      <c r="AO45" s="213" t="s">
        <v>28</v>
      </c>
      <c r="AP45" s="213"/>
      <c r="AQ45" s="213"/>
      <c r="AR45" s="213"/>
      <c r="AS45" s="213"/>
      <c r="AT45" s="213"/>
      <c r="AU45" s="213"/>
      <c r="AV45" s="213"/>
      <c r="AW45" s="213"/>
      <c r="AX45" s="213"/>
      <c r="AY45" s="213"/>
      <c r="AZ45" s="213"/>
      <c r="BA45" s="213"/>
      <c r="BB45" s="214"/>
      <c r="BC45" s="40"/>
      <c r="BD45" s="54"/>
      <c r="BE45" s="220"/>
      <c r="BF45" s="221"/>
      <c r="BG45" s="221"/>
      <c r="BH45" s="222"/>
      <c r="BI45" s="220"/>
      <c r="BJ45" s="221"/>
      <c r="BK45" s="221"/>
      <c r="BL45" s="222"/>
      <c r="BM45" s="220"/>
      <c r="BN45" s="221"/>
      <c r="BO45" s="221"/>
      <c r="BP45" s="222"/>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215" t="str">
        <f>IF([6]回答表!X41="○",[6]回答表!AG68,IF([6]回答表!AA41="○",[6]回答表!AG88,""))</f>
        <v/>
      </c>
      <c r="AN46" s="216"/>
      <c r="AO46" s="213" t="s">
        <v>29</v>
      </c>
      <c r="AP46" s="213"/>
      <c r="AQ46" s="213"/>
      <c r="AR46" s="213"/>
      <c r="AS46" s="213"/>
      <c r="AT46" s="213"/>
      <c r="AU46" s="213"/>
      <c r="AV46" s="213"/>
      <c r="AW46" s="213"/>
      <c r="AX46" s="213"/>
      <c r="AY46" s="213"/>
      <c r="AZ46" s="213"/>
      <c r="BA46" s="213"/>
      <c r="BB46" s="214"/>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215" t="str">
        <f>IF([6]回答表!X41="○",[6]回答表!AG69,IF([6]回答表!AA41="○",[6]回答表!AG89,""))</f>
        <v/>
      </c>
      <c r="AN47" s="216"/>
      <c r="AO47" s="213" t="s">
        <v>30</v>
      </c>
      <c r="AP47" s="213"/>
      <c r="AQ47" s="213"/>
      <c r="AR47" s="213"/>
      <c r="AS47" s="213"/>
      <c r="AT47" s="213"/>
      <c r="AU47" s="213"/>
      <c r="AV47" s="213"/>
      <c r="AW47" s="213"/>
      <c r="AX47" s="213"/>
      <c r="AY47" s="213"/>
      <c r="AZ47" s="213"/>
      <c r="BA47" s="213"/>
      <c r="BB47" s="214"/>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215" t="str">
        <f>IF([6]回答表!X41="○",[6]回答表!AG70,IF([6]回答表!AA41="○",[6]回答表!AG90,""))</f>
        <v/>
      </c>
      <c r="AN48" s="216"/>
      <c r="AO48" s="213" t="s">
        <v>31</v>
      </c>
      <c r="AP48" s="213"/>
      <c r="AQ48" s="213"/>
      <c r="AR48" s="213"/>
      <c r="AS48" s="213"/>
      <c r="AT48" s="213"/>
      <c r="AU48" s="213"/>
      <c r="AV48" s="213"/>
      <c r="AW48" s="213"/>
      <c r="AX48" s="213"/>
      <c r="AY48" s="213"/>
      <c r="AZ48" s="213"/>
      <c r="BA48" s="213"/>
      <c r="BB48" s="214"/>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IF([6]回答表!AD41="○","○","")</f>
        <v/>
      </c>
      <c r="O52" s="98"/>
      <c r="P52" s="98"/>
      <c r="Q52" s="99"/>
      <c r="R52" s="39"/>
      <c r="S52" s="39"/>
      <c r="T52" s="39"/>
      <c r="U52" s="106" t="str">
        <f>IF([6]回答表!AD41="○",[6]回答表!B96,"")</f>
        <v/>
      </c>
      <c r="V52" s="107"/>
      <c r="W52" s="107"/>
      <c r="X52" s="107"/>
      <c r="Y52" s="107"/>
      <c r="Z52" s="107"/>
      <c r="AA52" s="107"/>
      <c r="AB52" s="107"/>
      <c r="AC52" s="107"/>
      <c r="AD52" s="107"/>
      <c r="AE52" s="107"/>
      <c r="AF52" s="107"/>
      <c r="AG52" s="107"/>
      <c r="AH52" s="107"/>
      <c r="AI52" s="107"/>
      <c r="AJ52" s="108"/>
      <c r="AK52" s="56"/>
      <c r="AL52" s="56"/>
      <c r="AM52" s="106" t="str">
        <f>IF([6]回答表!AD41="○",[6]回答表!B101,"")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IF([6]回答表!X42="○","○","")</f>
        <v/>
      </c>
      <c r="O63" s="98"/>
      <c r="P63" s="98"/>
      <c r="Q63" s="99"/>
      <c r="R63" s="39"/>
      <c r="S63" s="39"/>
      <c r="T63" s="39"/>
      <c r="U63" s="106" t="str">
        <f>IF([6]回答表!X42="○",[6]回答表!B111,IF([6]回答表!AA42="○",[6]回答表!B124,""))</f>
        <v/>
      </c>
      <c r="V63" s="107"/>
      <c r="W63" s="107"/>
      <c r="X63" s="107"/>
      <c r="Y63" s="107"/>
      <c r="Z63" s="107"/>
      <c r="AA63" s="107"/>
      <c r="AB63" s="107"/>
      <c r="AC63" s="107"/>
      <c r="AD63" s="107"/>
      <c r="AE63" s="107"/>
      <c r="AF63" s="107"/>
      <c r="AG63" s="107"/>
      <c r="AH63" s="107"/>
      <c r="AI63" s="107"/>
      <c r="AJ63" s="108"/>
      <c r="AK63" s="50"/>
      <c r="AL63" s="50"/>
      <c r="AM63" s="212" t="s">
        <v>37</v>
      </c>
      <c r="AN63" s="212"/>
      <c r="AO63" s="212"/>
      <c r="AP63" s="212"/>
      <c r="AQ63" s="212"/>
      <c r="AR63" s="212"/>
      <c r="AS63" s="212"/>
      <c r="AT63" s="212"/>
      <c r="AU63" s="212" t="s">
        <v>38</v>
      </c>
      <c r="AV63" s="212"/>
      <c r="AW63" s="212"/>
      <c r="AX63" s="212"/>
      <c r="AY63" s="212"/>
      <c r="AZ63" s="212"/>
      <c r="BA63" s="212"/>
      <c r="BB63" s="212"/>
      <c r="BC63" s="40"/>
      <c r="BD63" s="35"/>
      <c r="BE63" s="115" t="str">
        <f>IF([6]回答表!X42="○",[6]回答表!S117,IF([6]回答表!AA42="○",[6]回答表!S130,""))</f>
        <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212"/>
      <c r="AN64" s="212"/>
      <c r="AO64" s="212"/>
      <c r="AP64" s="212"/>
      <c r="AQ64" s="212"/>
      <c r="AR64" s="212"/>
      <c r="AS64" s="212"/>
      <c r="AT64" s="212"/>
      <c r="AU64" s="212"/>
      <c r="AV64" s="212"/>
      <c r="AW64" s="212"/>
      <c r="AX64" s="212"/>
      <c r="AY64" s="212"/>
      <c r="AZ64" s="212"/>
      <c r="BA64" s="212"/>
      <c r="BB64" s="212"/>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212"/>
      <c r="AN65" s="212"/>
      <c r="AO65" s="212"/>
      <c r="AP65" s="212"/>
      <c r="AQ65" s="212"/>
      <c r="AR65" s="212"/>
      <c r="AS65" s="212"/>
      <c r="AT65" s="212"/>
      <c r="AU65" s="212"/>
      <c r="AV65" s="212"/>
      <c r="AW65" s="212"/>
      <c r="AX65" s="212"/>
      <c r="AY65" s="212"/>
      <c r="AZ65" s="212"/>
      <c r="BA65" s="212"/>
      <c r="BB65" s="212"/>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IF([6]回答表!X42="○",[6]回答表!J117,IF([6]回答表!AA42="○",[6]回答表!J130,""))</f>
        <v/>
      </c>
      <c r="AN66" s="119"/>
      <c r="AO66" s="119"/>
      <c r="AP66" s="119"/>
      <c r="AQ66" s="119"/>
      <c r="AR66" s="119"/>
      <c r="AS66" s="119"/>
      <c r="AT66" s="120"/>
      <c r="AU66" s="118" t="str">
        <f>IF([6]回答表!X42="○",[6]回答表!J118,IF([6]回答表!AA42="○",[6]回答表!J131,""))</f>
        <v/>
      </c>
      <c r="AV66" s="119"/>
      <c r="AW66" s="119"/>
      <c r="AX66" s="119"/>
      <c r="AY66" s="119"/>
      <c r="AZ66" s="119"/>
      <c r="BA66" s="119"/>
      <c r="BB66" s="120"/>
      <c r="BC66" s="40"/>
      <c r="BD66" s="35"/>
      <c r="BE66" s="82" t="str">
        <f>IF([6]回答表!X42="○",[6]回答表!V117,IF([6]回答表!AA42="○",[6]回答表!V130,""))</f>
        <v/>
      </c>
      <c r="BF66" s="83"/>
      <c r="BG66" s="83"/>
      <c r="BH66" s="83"/>
      <c r="BI66" s="82" t="str">
        <f>IF([6]回答表!X42="○",[6]回答表!V118,IF([6]回答表!AA42="○",[6]回答表!V131,""))</f>
        <v/>
      </c>
      <c r="BJ66" s="83"/>
      <c r="BK66" s="83"/>
      <c r="BL66" s="83"/>
      <c r="BM66" s="82" t="str">
        <f>IF([6]回答表!X42="○",[6]回答表!V119,IF([6]回答表!AA42="○",[6]回答表!V132,""))</f>
        <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IF([6]回答表!AA42="○","○","")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IF([6]回答表!AD42="○","○","")</f>
        <v>○</v>
      </c>
      <c r="O75" s="98"/>
      <c r="P75" s="98"/>
      <c r="Q75" s="99"/>
      <c r="R75" s="39"/>
      <c r="S75" s="39"/>
      <c r="T75" s="39"/>
      <c r="U75" s="296" t="str">
        <f>IF([6]回答表!AD42="○",[6]回答表!B137,"")</f>
        <v>大館市介護保険事業計画第９期中で民間への譲渡も検討している。
公共施設等総合管理計画を策定し、議会へも報告、ホームページで公開済み。</v>
      </c>
      <c r="V75" s="297"/>
      <c r="W75" s="297"/>
      <c r="X75" s="297"/>
      <c r="Y75" s="297"/>
      <c r="Z75" s="297"/>
      <c r="AA75" s="297"/>
      <c r="AB75" s="297"/>
      <c r="AC75" s="297"/>
      <c r="AD75" s="297"/>
      <c r="AE75" s="297"/>
      <c r="AF75" s="297"/>
      <c r="AG75" s="297"/>
      <c r="AH75" s="297"/>
      <c r="AI75" s="297"/>
      <c r="AJ75" s="298"/>
      <c r="AK75" s="56"/>
      <c r="AL75" s="56"/>
      <c r="AM75" s="151" t="str">
        <f>IF([6]回答表!AD42="○",[6]回答表!B143,"")</f>
        <v>令和６年４月を目途に譲渡することで検討。
施設の老朽化もあり、経費が増大しないよう譲渡方法を検討している。</v>
      </c>
      <c r="AN75" s="152"/>
      <c r="AO75" s="152"/>
      <c r="AP75" s="152"/>
      <c r="AQ75" s="152"/>
      <c r="AR75" s="152"/>
      <c r="AS75" s="152"/>
      <c r="AT75" s="152"/>
      <c r="AU75" s="152"/>
      <c r="AV75" s="152"/>
      <c r="AW75" s="152"/>
      <c r="AX75" s="152"/>
      <c r="AY75" s="152"/>
      <c r="AZ75" s="152"/>
      <c r="BA75" s="152"/>
      <c r="BB75" s="152"/>
      <c r="BC75" s="152"/>
      <c r="BD75" s="152"/>
      <c r="BE75" s="152"/>
      <c r="BF75" s="152"/>
      <c r="BG75" s="152"/>
      <c r="BH75" s="152"/>
      <c r="BI75" s="152"/>
      <c r="BJ75" s="152"/>
      <c r="BK75" s="152"/>
      <c r="BL75" s="152"/>
      <c r="BM75" s="152"/>
      <c r="BN75" s="152"/>
      <c r="BO75" s="152"/>
      <c r="BP75" s="153"/>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299"/>
      <c r="V76" s="300"/>
      <c r="W76" s="300"/>
      <c r="X76" s="300"/>
      <c r="Y76" s="300"/>
      <c r="Z76" s="300"/>
      <c r="AA76" s="300"/>
      <c r="AB76" s="300"/>
      <c r="AC76" s="300"/>
      <c r="AD76" s="300"/>
      <c r="AE76" s="300"/>
      <c r="AF76" s="300"/>
      <c r="AG76" s="300"/>
      <c r="AH76" s="300"/>
      <c r="AI76" s="300"/>
      <c r="AJ76" s="301"/>
      <c r="AK76" s="56"/>
      <c r="AL76" s="56"/>
      <c r="AM76" s="154"/>
      <c r="AN76" s="155"/>
      <c r="AO76" s="155"/>
      <c r="AP76" s="155"/>
      <c r="AQ76" s="155"/>
      <c r="AR76" s="155"/>
      <c r="AS76" s="155"/>
      <c r="AT76" s="155"/>
      <c r="AU76" s="155"/>
      <c r="AV76" s="155"/>
      <c r="AW76" s="155"/>
      <c r="AX76" s="155"/>
      <c r="AY76" s="155"/>
      <c r="AZ76" s="155"/>
      <c r="BA76" s="155"/>
      <c r="BB76" s="155"/>
      <c r="BC76" s="155"/>
      <c r="BD76" s="155"/>
      <c r="BE76" s="155"/>
      <c r="BF76" s="155"/>
      <c r="BG76" s="155"/>
      <c r="BH76" s="155"/>
      <c r="BI76" s="155"/>
      <c r="BJ76" s="155"/>
      <c r="BK76" s="155"/>
      <c r="BL76" s="155"/>
      <c r="BM76" s="155"/>
      <c r="BN76" s="155"/>
      <c r="BO76" s="155"/>
      <c r="BP76" s="156"/>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299"/>
      <c r="V77" s="300"/>
      <c r="W77" s="300"/>
      <c r="X77" s="300"/>
      <c r="Y77" s="300"/>
      <c r="Z77" s="300"/>
      <c r="AA77" s="300"/>
      <c r="AB77" s="300"/>
      <c r="AC77" s="300"/>
      <c r="AD77" s="300"/>
      <c r="AE77" s="300"/>
      <c r="AF77" s="300"/>
      <c r="AG77" s="300"/>
      <c r="AH77" s="300"/>
      <c r="AI77" s="300"/>
      <c r="AJ77" s="301"/>
      <c r="AK77" s="56"/>
      <c r="AL77" s="56"/>
      <c r="AM77" s="154"/>
      <c r="AN77" s="155"/>
      <c r="AO77" s="155"/>
      <c r="AP77" s="155"/>
      <c r="AQ77" s="155"/>
      <c r="AR77" s="155"/>
      <c r="AS77" s="155"/>
      <c r="AT77" s="155"/>
      <c r="AU77" s="155"/>
      <c r="AV77" s="155"/>
      <c r="AW77" s="155"/>
      <c r="AX77" s="155"/>
      <c r="AY77" s="155"/>
      <c r="AZ77" s="155"/>
      <c r="BA77" s="155"/>
      <c r="BB77" s="155"/>
      <c r="BC77" s="155"/>
      <c r="BD77" s="155"/>
      <c r="BE77" s="155"/>
      <c r="BF77" s="155"/>
      <c r="BG77" s="155"/>
      <c r="BH77" s="155"/>
      <c r="BI77" s="155"/>
      <c r="BJ77" s="155"/>
      <c r="BK77" s="155"/>
      <c r="BL77" s="155"/>
      <c r="BM77" s="155"/>
      <c r="BN77" s="155"/>
      <c r="BO77" s="155"/>
      <c r="BP77" s="156"/>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302"/>
      <c r="V78" s="303"/>
      <c r="W78" s="303"/>
      <c r="X78" s="303"/>
      <c r="Y78" s="303"/>
      <c r="Z78" s="303"/>
      <c r="AA78" s="303"/>
      <c r="AB78" s="303"/>
      <c r="AC78" s="303"/>
      <c r="AD78" s="303"/>
      <c r="AE78" s="303"/>
      <c r="AF78" s="303"/>
      <c r="AG78" s="303"/>
      <c r="AH78" s="303"/>
      <c r="AI78" s="303"/>
      <c r="AJ78" s="304"/>
      <c r="AK78" s="56"/>
      <c r="AL78" s="56"/>
      <c r="AM78" s="157"/>
      <c r="AN78" s="158"/>
      <c r="AO78" s="158"/>
      <c r="AP78" s="158"/>
      <c r="AQ78" s="158"/>
      <c r="AR78" s="158"/>
      <c r="AS78" s="158"/>
      <c r="AT78" s="158"/>
      <c r="AU78" s="158"/>
      <c r="AV78" s="158"/>
      <c r="AW78" s="158"/>
      <c r="AX78" s="158"/>
      <c r="AY78" s="158"/>
      <c r="AZ78" s="158"/>
      <c r="BA78" s="158"/>
      <c r="BB78" s="158"/>
      <c r="BC78" s="158"/>
      <c r="BD78" s="158"/>
      <c r="BE78" s="158"/>
      <c r="BF78" s="158"/>
      <c r="BG78" s="158"/>
      <c r="BH78" s="158"/>
      <c r="BI78" s="158"/>
      <c r="BJ78" s="158"/>
      <c r="BK78" s="158"/>
      <c r="BL78" s="158"/>
      <c r="BM78" s="158"/>
      <c r="BN78" s="158"/>
      <c r="BO78" s="158"/>
      <c r="BP78" s="159"/>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62"/>
      <c r="AS81" s="162"/>
      <c r="AT81" s="162"/>
      <c r="AU81" s="162"/>
      <c r="AV81" s="162"/>
      <c r="AW81" s="162"/>
      <c r="AX81" s="162"/>
      <c r="AY81" s="162"/>
      <c r="AZ81" s="162"/>
      <c r="BA81" s="162"/>
      <c r="BB81" s="162"/>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87"/>
      <c r="AS82" s="187"/>
      <c r="AT82" s="187"/>
      <c r="AU82" s="187"/>
      <c r="AV82" s="187"/>
      <c r="AW82" s="187"/>
      <c r="AX82" s="187"/>
      <c r="AY82" s="187"/>
      <c r="AZ82" s="187"/>
      <c r="BA82" s="187"/>
      <c r="BB82" s="187"/>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81" t="s">
        <v>18</v>
      </c>
      <c r="E87" s="181"/>
      <c r="F87" s="181"/>
      <c r="G87" s="181"/>
      <c r="H87" s="181"/>
      <c r="I87" s="181"/>
      <c r="J87" s="181"/>
      <c r="K87" s="181"/>
      <c r="L87" s="181"/>
      <c r="M87" s="181"/>
      <c r="N87" s="97" t="str">
        <f>IF([6]回答表!F17="水道事業",IF([6]回答表!X43="○","○",""),"")</f>
        <v/>
      </c>
      <c r="O87" s="98"/>
      <c r="P87" s="98"/>
      <c r="Q87" s="99"/>
      <c r="R87" s="39"/>
      <c r="S87" s="39"/>
      <c r="T87" s="39"/>
      <c r="U87" s="188" t="s">
        <v>41</v>
      </c>
      <c r="V87" s="189"/>
      <c r="W87" s="189"/>
      <c r="X87" s="189"/>
      <c r="Y87" s="189"/>
      <c r="Z87" s="189"/>
      <c r="AA87" s="189"/>
      <c r="AB87" s="189"/>
      <c r="AC87" s="188" t="s">
        <v>42</v>
      </c>
      <c r="AD87" s="189"/>
      <c r="AE87" s="189"/>
      <c r="AF87" s="189"/>
      <c r="AG87" s="189"/>
      <c r="AH87" s="189"/>
      <c r="AI87" s="189"/>
      <c r="AJ87" s="198"/>
      <c r="AK87" s="50"/>
      <c r="AL87" s="50"/>
      <c r="AM87" s="106" t="str">
        <f>IF([6]回答表!F17="水道事業",IF([6]回答表!X43="○",[6]回答表!B154,IF([6]回答表!AA43="○",[6]回答表!B201,"")),"")</f>
        <v/>
      </c>
      <c r="AN87" s="107"/>
      <c r="AO87" s="107"/>
      <c r="AP87" s="107"/>
      <c r="AQ87" s="107"/>
      <c r="AR87" s="107"/>
      <c r="AS87" s="107"/>
      <c r="AT87" s="107"/>
      <c r="AU87" s="107"/>
      <c r="AV87" s="107"/>
      <c r="AW87" s="107"/>
      <c r="AX87" s="107"/>
      <c r="AY87" s="107"/>
      <c r="AZ87" s="107"/>
      <c r="BA87" s="107"/>
      <c r="BB87" s="108"/>
      <c r="BC87" s="40"/>
      <c r="BD87" s="35"/>
      <c r="BE87" s="115" t="str">
        <f>IF([6]回答表!F17="水道事業",IF([6]回答表!X43="○",[6]回答表!B190,IF([6]回答表!AA43="○",[6]回答表!B238,"")),"")</f>
        <v/>
      </c>
      <c r="BF87" s="116"/>
      <c r="BG87" s="116"/>
      <c r="BH87" s="116"/>
      <c r="BI87" s="115"/>
      <c r="BJ87" s="116"/>
      <c r="BK87" s="116"/>
      <c r="BL87" s="116"/>
      <c r="BM87" s="115"/>
      <c r="BN87" s="116"/>
      <c r="BO87" s="116"/>
      <c r="BP87" s="117"/>
      <c r="BQ87" s="38"/>
    </row>
    <row r="88" spans="3:69" ht="19.350000000000001" customHeight="1" x14ac:dyDescent="0.4">
      <c r="C88" s="33"/>
      <c r="D88" s="181"/>
      <c r="E88" s="181"/>
      <c r="F88" s="181"/>
      <c r="G88" s="181"/>
      <c r="H88" s="181"/>
      <c r="I88" s="181"/>
      <c r="J88" s="181"/>
      <c r="K88" s="181"/>
      <c r="L88" s="181"/>
      <c r="M88" s="181"/>
      <c r="N88" s="100"/>
      <c r="O88" s="101"/>
      <c r="P88" s="101"/>
      <c r="Q88" s="102"/>
      <c r="R88" s="39"/>
      <c r="S88" s="39"/>
      <c r="T88" s="39"/>
      <c r="U88" s="190"/>
      <c r="V88" s="191"/>
      <c r="W88" s="191"/>
      <c r="X88" s="191"/>
      <c r="Y88" s="191"/>
      <c r="Z88" s="191"/>
      <c r="AA88" s="191"/>
      <c r="AB88" s="191"/>
      <c r="AC88" s="190"/>
      <c r="AD88" s="191"/>
      <c r="AE88" s="191"/>
      <c r="AF88" s="191"/>
      <c r="AG88" s="191"/>
      <c r="AH88" s="191"/>
      <c r="AI88" s="191"/>
      <c r="AJ88" s="199"/>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81"/>
      <c r="E89" s="181"/>
      <c r="F89" s="181"/>
      <c r="G89" s="181"/>
      <c r="H89" s="181"/>
      <c r="I89" s="181"/>
      <c r="J89" s="181"/>
      <c r="K89" s="181"/>
      <c r="L89" s="181"/>
      <c r="M89" s="181"/>
      <c r="N89" s="100"/>
      <c r="O89" s="101"/>
      <c r="P89" s="101"/>
      <c r="Q89" s="102"/>
      <c r="R89" s="39"/>
      <c r="S89" s="39"/>
      <c r="T89" s="39"/>
      <c r="U89" s="118" t="str">
        <f>IF([6]回答表!F17="水道事業",IF([6]回答表!X43="○",[6]回答表!J162,IF([6]回答表!AA43="○",[6]回答表!J209,"")),"")</f>
        <v/>
      </c>
      <c r="V89" s="119"/>
      <c r="W89" s="119"/>
      <c r="X89" s="119"/>
      <c r="Y89" s="119"/>
      <c r="Z89" s="119"/>
      <c r="AA89" s="119"/>
      <c r="AB89" s="120"/>
      <c r="AC89" s="118" t="str">
        <f>IF([6]回答表!F17="水道事業",IF([6]回答表!X43="○",[6]回答表!J169,IF([6]回答表!AA43="○",[6]回答表!J216,"")),"")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81"/>
      <c r="E90" s="181"/>
      <c r="F90" s="181"/>
      <c r="G90" s="181"/>
      <c r="H90" s="181"/>
      <c r="I90" s="181"/>
      <c r="J90" s="181"/>
      <c r="K90" s="181"/>
      <c r="L90" s="181"/>
      <c r="M90" s="181"/>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IF([6]回答表!F17="水道事業",IF([6]回答表!X43="○",[6]回答表!E190,IF([6]回答表!AA43="○",[6]回答表!E238,"")),"")</f>
        <v/>
      </c>
      <c r="BF90" s="83"/>
      <c r="BG90" s="83"/>
      <c r="BH90" s="83"/>
      <c r="BI90" s="82" t="str">
        <f>IF([6]回答表!F17="水道事業",IF([6]回答表!X43="○",[6]回答表!E191,IF([6]回答表!AA43="○",[6]回答表!E239,"")),"")</f>
        <v/>
      </c>
      <c r="BJ90" s="83"/>
      <c r="BK90" s="83"/>
      <c r="BL90" s="83"/>
      <c r="BM90" s="82" t="str">
        <f>IF([6]回答表!F17="水道事業",IF([6]回答表!X43="○",[6]回答表!E192,IF([6]回答表!AA43="○",[6]回答表!E240,"")),"")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88" t="s">
        <v>43</v>
      </c>
      <c r="V92" s="189"/>
      <c r="W92" s="189"/>
      <c r="X92" s="189"/>
      <c r="Y92" s="189"/>
      <c r="Z92" s="189"/>
      <c r="AA92" s="189"/>
      <c r="AB92" s="189"/>
      <c r="AC92" s="188" t="s">
        <v>44</v>
      </c>
      <c r="AD92" s="189"/>
      <c r="AE92" s="189"/>
      <c r="AF92" s="189"/>
      <c r="AG92" s="189"/>
      <c r="AH92" s="189"/>
      <c r="AI92" s="189"/>
      <c r="AJ92" s="198"/>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86" t="s">
        <v>26</v>
      </c>
      <c r="E93" s="181"/>
      <c r="F93" s="181"/>
      <c r="G93" s="181"/>
      <c r="H93" s="181"/>
      <c r="I93" s="181"/>
      <c r="J93" s="181"/>
      <c r="K93" s="181"/>
      <c r="L93" s="181"/>
      <c r="M93" s="182"/>
      <c r="N93" s="97" t="str">
        <f>IF([6]回答表!F17="水道事業",IF([6]回答表!AA43="○","○",""),"")</f>
        <v/>
      </c>
      <c r="O93" s="98"/>
      <c r="P93" s="98"/>
      <c r="Q93" s="99"/>
      <c r="R93" s="39"/>
      <c r="S93" s="39"/>
      <c r="T93" s="39"/>
      <c r="U93" s="190"/>
      <c r="V93" s="191"/>
      <c r="W93" s="191"/>
      <c r="X93" s="191"/>
      <c r="Y93" s="191"/>
      <c r="Z93" s="191"/>
      <c r="AA93" s="191"/>
      <c r="AB93" s="191"/>
      <c r="AC93" s="190"/>
      <c r="AD93" s="191"/>
      <c r="AE93" s="191"/>
      <c r="AF93" s="191"/>
      <c r="AG93" s="191"/>
      <c r="AH93" s="191"/>
      <c r="AI93" s="191"/>
      <c r="AJ93" s="199"/>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81"/>
      <c r="E94" s="181"/>
      <c r="F94" s="181"/>
      <c r="G94" s="181"/>
      <c r="H94" s="181"/>
      <c r="I94" s="181"/>
      <c r="J94" s="181"/>
      <c r="K94" s="181"/>
      <c r="L94" s="181"/>
      <c r="M94" s="182"/>
      <c r="N94" s="100"/>
      <c r="O94" s="101"/>
      <c r="P94" s="101"/>
      <c r="Q94" s="102"/>
      <c r="R94" s="39"/>
      <c r="S94" s="39"/>
      <c r="T94" s="39"/>
      <c r="U94" s="118" t="str">
        <f>IF([6]回答表!F17="水道事業",IF([6]回答表!X43="○",[6]回答表!J172,IF([6]回答表!AA43="○",[6]回答表!J219,"")),"")</f>
        <v/>
      </c>
      <c r="V94" s="119"/>
      <c r="W94" s="119"/>
      <c r="X94" s="119"/>
      <c r="Y94" s="119"/>
      <c r="Z94" s="119"/>
      <c r="AA94" s="119"/>
      <c r="AB94" s="120"/>
      <c r="AC94" s="118" t="str">
        <f>IF([6]回答表!F17="水道事業",IF([6]回答表!X43="○",[6]回答表!J176,IF([6]回答表!AA43="○",[6]回答表!J223,"")),"")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81"/>
      <c r="E95" s="181"/>
      <c r="F95" s="181"/>
      <c r="G95" s="181"/>
      <c r="H95" s="181"/>
      <c r="I95" s="181"/>
      <c r="J95" s="181"/>
      <c r="K95" s="181"/>
      <c r="L95" s="181"/>
      <c r="M95" s="182"/>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81"/>
      <c r="E96" s="181"/>
      <c r="F96" s="181"/>
      <c r="G96" s="181"/>
      <c r="H96" s="181"/>
      <c r="I96" s="181"/>
      <c r="J96" s="181"/>
      <c r="K96" s="181"/>
      <c r="L96" s="181"/>
      <c r="M96" s="182"/>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81" t="s">
        <v>34</v>
      </c>
      <c r="E99" s="181"/>
      <c r="F99" s="181"/>
      <c r="G99" s="181"/>
      <c r="H99" s="181"/>
      <c r="I99" s="181"/>
      <c r="J99" s="181"/>
      <c r="K99" s="181"/>
      <c r="L99" s="181"/>
      <c r="M99" s="182"/>
      <c r="N99" s="97" t="str">
        <f>IF([6]回答表!F17="水道事業",IF([6]回答表!AD43="○","○",""),"")</f>
        <v/>
      </c>
      <c r="O99" s="98"/>
      <c r="P99" s="98"/>
      <c r="Q99" s="99"/>
      <c r="R99" s="39"/>
      <c r="S99" s="39"/>
      <c r="T99" s="39"/>
      <c r="U99" s="106" t="str">
        <f>IF([6]回答表!F17="水道事業",IF([6]回答表!AD43="○",[6]回答表!B249,""),"")</f>
        <v/>
      </c>
      <c r="V99" s="107"/>
      <c r="W99" s="107"/>
      <c r="X99" s="107"/>
      <c r="Y99" s="107"/>
      <c r="Z99" s="107"/>
      <c r="AA99" s="107"/>
      <c r="AB99" s="107"/>
      <c r="AC99" s="107"/>
      <c r="AD99" s="107"/>
      <c r="AE99" s="107"/>
      <c r="AF99" s="107"/>
      <c r="AG99" s="107"/>
      <c r="AH99" s="107"/>
      <c r="AI99" s="107"/>
      <c r="AJ99" s="108"/>
      <c r="AK99" s="56"/>
      <c r="AL99" s="56"/>
      <c r="AM99" s="106" t="str">
        <f>IF([6]回答表!F17="水道事業",IF([6]回答表!AD43="○",[6]回答表!B255,""),"")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81"/>
      <c r="E100" s="181"/>
      <c r="F100" s="181"/>
      <c r="G100" s="181"/>
      <c r="H100" s="181"/>
      <c r="I100" s="181"/>
      <c r="J100" s="181"/>
      <c r="K100" s="181"/>
      <c r="L100" s="181"/>
      <c r="M100" s="182"/>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81"/>
      <c r="E101" s="181"/>
      <c r="F101" s="181"/>
      <c r="G101" s="181"/>
      <c r="H101" s="181"/>
      <c r="I101" s="181"/>
      <c r="J101" s="181"/>
      <c r="K101" s="181"/>
      <c r="L101" s="181"/>
      <c r="M101" s="182"/>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81"/>
      <c r="E102" s="181"/>
      <c r="F102" s="181"/>
      <c r="G102" s="181"/>
      <c r="H102" s="181"/>
      <c r="I102" s="181"/>
      <c r="J102" s="181"/>
      <c r="K102" s="181"/>
      <c r="L102" s="181"/>
      <c r="M102" s="182"/>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62"/>
      <c r="AS105" s="162"/>
      <c r="AT105" s="162"/>
      <c r="AU105" s="162"/>
      <c r="AV105" s="162"/>
      <c r="AW105" s="162"/>
      <c r="AX105" s="162"/>
      <c r="AY105" s="162"/>
      <c r="AZ105" s="162"/>
      <c r="BA105" s="162"/>
      <c r="BB105" s="162"/>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87"/>
      <c r="AS106" s="187"/>
      <c r="AT106" s="187"/>
      <c r="AU106" s="187"/>
      <c r="AV106" s="187"/>
      <c r="AW106" s="187"/>
      <c r="AX106" s="187"/>
      <c r="AY106" s="187"/>
      <c r="AZ106" s="187"/>
      <c r="BA106" s="187"/>
      <c r="BB106" s="187"/>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81" t="s">
        <v>18</v>
      </c>
      <c r="E111" s="181"/>
      <c r="F111" s="181"/>
      <c r="G111" s="181"/>
      <c r="H111" s="181"/>
      <c r="I111" s="181"/>
      <c r="J111" s="181"/>
      <c r="K111" s="181"/>
      <c r="L111" s="181"/>
      <c r="M111" s="181"/>
      <c r="N111" s="97" t="str">
        <f>IF([6]回答表!F17="簡易水道事業",IF([6]回答表!X43="○","○",""),"")</f>
        <v/>
      </c>
      <c r="O111" s="98"/>
      <c r="P111" s="98"/>
      <c r="Q111" s="99"/>
      <c r="R111" s="39"/>
      <c r="S111" s="39"/>
      <c r="T111" s="39"/>
      <c r="U111" s="188" t="s">
        <v>46</v>
      </c>
      <c r="V111" s="189"/>
      <c r="W111" s="189"/>
      <c r="X111" s="189"/>
      <c r="Y111" s="189"/>
      <c r="Z111" s="189"/>
      <c r="AA111" s="189"/>
      <c r="AB111" s="189"/>
      <c r="AC111" s="189"/>
      <c r="AD111" s="189"/>
      <c r="AE111" s="189"/>
      <c r="AF111" s="189"/>
      <c r="AG111" s="189"/>
      <c r="AH111" s="189"/>
      <c r="AI111" s="189"/>
      <c r="AJ111" s="198"/>
      <c r="AK111" s="50"/>
      <c r="AL111" s="50"/>
      <c r="AM111" s="106" t="str">
        <f>IF([6]回答表!F17="簡易水道事業",IF([6]回答表!X43="○",[6]回答表!B154,IF([6]回答表!AA43="○",[6]回答表!B201,"")),"")</f>
        <v/>
      </c>
      <c r="AN111" s="107"/>
      <c r="AO111" s="107"/>
      <c r="AP111" s="107"/>
      <c r="AQ111" s="107"/>
      <c r="AR111" s="107"/>
      <c r="AS111" s="107"/>
      <c r="AT111" s="107"/>
      <c r="AU111" s="107"/>
      <c r="AV111" s="107"/>
      <c r="AW111" s="107"/>
      <c r="AX111" s="107"/>
      <c r="AY111" s="107"/>
      <c r="AZ111" s="107"/>
      <c r="BA111" s="107"/>
      <c r="BB111" s="108"/>
      <c r="BC111" s="40"/>
      <c r="BD111" s="35"/>
      <c r="BE111" s="115" t="str">
        <f>IF([6]回答表!F17="簡易水道事業",IF([6]回答表!X43="○",[6]回答表!B190,IF([6]回答表!AA43="○",[6]回答表!B238,"")),"")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81"/>
      <c r="E112" s="181"/>
      <c r="F112" s="181"/>
      <c r="G112" s="181"/>
      <c r="H112" s="181"/>
      <c r="I112" s="181"/>
      <c r="J112" s="181"/>
      <c r="K112" s="181"/>
      <c r="L112" s="181"/>
      <c r="M112" s="181"/>
      <c r="N112" s="100"/>
      <c r="O112" s="101"/>
      <c r="P112" s="101"/>
      <c r="Q112" s="102"/>
      <c r="R112" s="39"/>
      <c r="S112" s="39"/>
      <c r="T112" s="39"/>
      <c r="U112" s="200"/>
      <c r="V112" s="201"/>
      <c r="W112" s="201"/>
      <c r="X112" s="201"/>
      <c r="Y112" s="201"/>
      <c r="Z112" s="201"/>
      <c r="AA112" s="201"/>
      <c r="AB112" s="201"/>
      <c r="AC112" s="201"/>
      <c r="AD112" s="201"/>
      <c r="AE112" s="201"/>
      <c r="AF112" s="201"/>
      <c r="AG112" s="201"/>
      <c r="AH112" s="201"/>
      <c r="AI112" s="201"/>
      <c r="AJ112" s="202"/>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81"/>
      <c r="E113" s="181"/>
      <c r="F113" s="181"/>
      <c r="G113" s="181"/>
      <c r="H113" s="181"/>
      <c r="I113" s="181"/>
      <c r="J113" s="181"/>
      <c r="K113" s="181"/>
      <c r="L113" s="181"/>
      <c r="M113" s="181"/>
      <c r="N113" s="100"/>
      <c r="O113" s="101"/>
      <c r="P113" s="101"/>
      <c r="Q113" s="102"/>
      <c r="R113" s="39"/>
      <c r="S113" s="39"/>
      <c r="T113" s="39"/>
      <c r="U113" s="118" t="str">
        <f>IF([6]回答表!F17="簡易水道事業",IF([6]回答表!X43="○",[6]回答表!Y181,IF([6]回答表!AA43="○",[6]回答表!Y229,"")),"")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81"/>
      <c r="E114" s="181"/>
      <c r="F114" s="181"/>
      <c r="G114" s="181"/>
      <c r="H114" s="181"/>
      <c r="I114" s="181"/>
      <c r="J114" s="181"/>
      <c r="K114" s="181"/>
      <c r="L114" s="181"/>
      <c r="M114" s="181"/>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IF([6]回答表!F17="簡易水道事業",IF([6]回答表!X43="○",[6]回答表!E190,IF([6]回答表!AA43="○",[6]回答表!E238,"")),"")</f>
        <v/>
      </c>
      <c r="BF114" s="83"/>
      <c r="BG114" s="83"/>
      <c r="BH114" s="83"/>
      <c r="BI114" s="82" t="str">
        <f>IF([6]回答表!F17="簡易水道事業",IF([6]回答表!X43="○",[6]回答表!E191,IF([6]回答表!AA43="○",[6]回答表!E239,"")),"")</f>
        <v/>
      </c>
      <c r="BJ114" s="83"/>
      <c r="BK114" s="83"/>
      <c r="BL114" s="83"/>
      <c r="BM114" s="82" t="str">
        <f>IF([6]回答表!F17="簡易水道事業",IF([6]回答表!X43="○",[6]回答表!E192,IF([6]回答表!AA43="○",[6]回答表!E240,"")),"")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88" t="s">
        <v>47</v>
      </c>
      <c r="V116" s="189"/>
      <c r="W116" s="189"/>
      <c r="X116" s="189"/>
      <c r="Y116" s="189"/>
      <c r="Z116" s="189"/>
      <c r="AA116" s="189"/>
      <c r="AB116" s="189"/>
      <c r="AC116" s="189"/>
      <c r="AD116" s="189"/>
      <c r="AE116" s="189"/>
      <c r="AF116" s="189"/>
      <c r="AG116" s="189"/>
      <c r="AH116" s="189"/>
      <c r="AI116" s="189"/>
      <c r="AJ116" s="198"/>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86" t="s">
        <v>26</v>
      </c>
      <c r="E117" s="181"/>
      <c r="F117" s="181"/>
      <c r="G117" s="181"/>
      <c r="H117" s="181"/>
      <c r="I117" s="181"/>
      <c r="J117" s="181"/>
      <c r="K117" s="181"/>
      <c r="L117" s="181"/>
      <c r="M117" s="182"/>
      <c r="N117" s="97" t="str">
        <f>IF([6]回答表!F17="簡易水道事業",IF([6]回答表!AA43="○","○",""),"")</f>
        <v/>
      </c>
      <c r="O117" s="98"/>
      <c r="P117" s="98"/>
      <c r="Q117" s="99"/>
      <c r="R117" s="39"/>
      <c r="S117" s="39"/>
      <c r="T117" s="39"/>
      <c r="U117" s="200"/>
      <c r="V117" s="201"/>
      <c r="W117" s="201"/>
      <c r="X117" s="201"/>
      <c r="Y117" s="201"/>
      <c r="Z117" s="201"/>
      <c r="AA117" s="201"/>
      <c r="AB117" s="201"/>
      <c r="AC117" s="201"/>
      <c r="AD117" s="201"/>
      <c r="AE117" s="201"/>
      <c r="AF117" s="201"/>
      <c r="AG117" s="201"/>
      <c r="AH117" s="201"/>
      <c r="AI117" s="201"/>
      <c r="AJ117" s="202"/>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81"/>
      <c r="E118" s="181"/>
      <c r="F118" s="181"/>
      <c r="G118" s="181"/>
      <c r="H118" s="181"/>
      <c r="I118" s="181"/>
      <c r="J118" s="181"/>
      <c r="K118" s="181"/>
      <c r="L118" s="181"/>
      <c r="M118" s="182"/>
      <c r="N118" s="100"/>
      <c r="O118" s="101"/>
      <c r="P118" s="101"/>
      <c r="Q118" s="102"/>
      <c r="R118" s="39"/>
      <c r="S118" s="39"/>
      <c r="T118" s="39"/>
      <c r="U118" s="118" t="str">
        <f>IF([6]回答表!F17="簡易水道事業",IF([6]回答表!X43="○",[6]回答表!Y182,IF([6]回答表!AA43="○",[6]回答表!Y230,"")),"")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81"/>
      <c r="E119" s="181"/>
      <c r="F119" s="181"/>
      <c r="G119" s="181"/>
      <c r="H119" s="181"/>
      <c r="I119" s="181"/>
      <c r="J119" s="181"/>
      <c r="K119" s="181"/>
      <c r="L119" s="181"/>
      <c r="M119" s="182"/>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81"/>
      <c r="E120" s="181"/>
      <c r="F120" s="181"/>
      <c r="G120" s="181"/>
      <c r="H120" s="181"/>
      <c r="I120" s="181"/>
      <c r="J120" s="181"/>
      <c r="K120" s="181"/>
      <c r="L120" s="181"/>
      <c r="M120" s="182"/>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81" t="s">
        <v>34</v>
      </c>
      <c r="E123" s="181"/>
      <c r="F123" s="181"/>
      <c r="G123" s="181"/>
      <c r="H123" s="181"/>
      <c r="I123" s="181"/>
      <c r="J123" s="181"/>
      <c r="K123" s="181"/>
      <c r="L123" s="181"/>
      <c r="M123" s="182"/>
      <c r="N123" s="97" t="str">
        <f>IF([6]回答表!F17="簡易水道事業",IF([6]回答表!AD43="○","○",""),"")</f>
        <v/>
      </c>
      <c r="O123" s="98"/>
      <c r="P123" s="98"/>
      <c r="Q123" s="99"/>
      <c r="R123" s="39"/>
      <c r="S123" s="39"/>
      <c r="T123" s="39"/>
      <c r="U123" s="106" t="str">
        <f>IF([6]回答表!F17="簡易水道事業",IF([6]回答表!AD43="○",[6]回答表!B249,""),"")</f>
        <v/>
      </c>
      <c r="V123" s="107"/>
      <c r="W123" s="107"/>
      <c r="X123" s="107"/>
      <c r="Y123" s="107"/>
      <c r="Z123" s="107"/>
      <c r="AA123" s="107"/>
      <c r="AB123" s="107"/>
      <c r="AC123" s="107"/>
      <c r="AD123" s="107"/>
      <c r="AE123" s="107"/>
      <c r="AF123" s="107"/>
      <c r="AG123" s="107"/>
      <c r="AH123" s="107"/>
      <c r="AI123" s="107"/>
      <c r="AJ123" s="108"/>
      <c r="AK123" s="56"/>
      <c r="AL123" s="56"/>
      <c r="AM123" s="106" t="str">
        <f>IF([6]回答表!F17="簡易水道事業",IF([6]回答表!AD43="○",[6]回答表!B255,""),"")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81"/>
      <c r="E124" s="181"/>
      <c r="F124" s="181"/>
      <c r="G124" s="181"/>
      <c r="H124" s="181"/>
      <c r="I124" s="181"/>
      <c r="J124" s="181"/>
      <c r="K124" s="181"/>
      <c r="L124" s="181"/>
      <c r="M124" s="182"/>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81"/>
      <c r="E125" s="181"/>
      <c r="F125" s="181"/>
      <c r="G125" s="181"/>
      <c r="H125" s="181"/>
      <c r="I125" s="181"/>
      <c r="J125" s="181"/>
      <c r="K125" s="181"/>
      <c r="L125" s="181"/>
      <c r="M125" s="182"/>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81"/>
      <c r="E126" s="181"/>
      <c r="F126" s="181"/>
      <c r="G126" s="181"/>
      <c r="H126" s="181"/>
      <c r="I126" s="181"/>
      <c r="J126" s="181"/>
      <c r="K126" s="181"/>
      <c r="L126" s="181"/>
      <c r="M126" s="182"/>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62"/>
      <c r="AS129" s="162"/>
      <c r="AT129" s="162"/>
      <c r="AU129" s="162"/>
      <c r="AV129" s="162"/>
      <c r="AW129" s="162"/>
      <c r="AX129" s="162"/>
      <c r="AY129" s="162"/>
      <c r="AZ129" s="162"/>
      <c r="BA129" s="162"/>
      <c r="BB129" s="162"/>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87"/>
      <c r="AS130" s="187"/>
      <c r="AT130" s="187"/>
      <c r="AU130" s="187"/>
      <c r="AV130" s="187"/>
      <c r="AW130" s="187"/>
      <c r="AX130" s="187"/>
      <c r="AY130" s="187"/>
      <c r="AZ130" s="187"/>
      <c r="BA130" s="187"/>
      <c r="BB130" s="187"/>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81" t="s">
        <v>18</v>
      </c>
      <c r="E135" s="181"/>
      <c r="F135" s="181"/>
      <c r="G135" s="181"/>
      <c r="H135" s="181"/>
      <c r="I135" s="181"/>
      <c r="J135" s="181"/>
      <c r="K135" s="181"/>
      <c r="L135" s="181"/>
      <c r="M135" s="181"/>
      <c r="N135" s="97" t="str">
        <f>IF([6]回答表!F17="下水道事業",IF([6]回答表!X43="○","○",""),"")</f>
        <v/>
      </c>
      <c r="O135" s="98"/>
      <c r="P135" s="98"/>
      <c r="Q135" s="99"/>
      <c r="R135" s="39"/>
      <c r="S135" s="39"/>
      <c r="T135" s="39"/>
      <c r="U135" s="188" t="s">
        <v>49</v>
      </c>
      <c r="V135" s="189"/>
      <c r="W135" s="189"/>
      <c r="X135" s="189"/>
      <c r="Y135" s="189"/>
      <c r="Z135" s="189"/>
      <c r="AA135" s="189"/>
      <c r="AB135" s="189"/>
      <c r="AC135" s="188" t="s">
        <v>50</v>
      </c>
      <c r="AD135" s="189"/>
      <c r="AE135" s="189"/>
      <c r="AF135" s="189"/>
      <c r="AG135" s="189"/>
      <c r="AH135" s="189"/>
      <c r="AI135" s="189"/>
      <c r="AJ135" s="198"/>
      <c r="AK135" s="50"/>
      <c r="AL135" s="50"/>
      <c r="AM135" s="106" t="str">
        <f>IF([6]回答表!F17="下水道事業",IF([6]回答表!X43="○",[6]回答表!B154,IF([6]回答表!AA43="○",[6]回答表!B201,"")),"")</f>
        <v/>
      </c>
      <c r="AN135" s="107"/>
      <c r="AO135" s="107"/>
      <c r="AP135" s="107"/>
      <c r="AQ135" s="107"/>
      <c r="AR135" s="107"/>
      <c r="AS135" s="107"/>
      <c r="AT135" s="107"/>
      <c r="AU135" s="107"/>
      <c r="AV135" s="107"/>
      <c r="AW135" s="107"/>
      <c r="AX135" s="107"/>
      <c r="AY135" s="107"/>
      <c r="AZ135" s="107"/>
      <c r="BA135" s="107"/>
      <c r="BB135" s="108"/>
      <c r="BC135" s="40"/>
      <c r="BD135" s="35"/>
      <c r="BE135" s="115" t="str">
        <f>IF([6]回答表!F17="下水道事業",IF([6]回答表!X43="○",[6]回答表!B190,IF([6]回答表!AA43="○",[6]回答表!B238,"")),"")</f>
        <v/>
      </c>
      <c r="BF135" s="116"/>
      <c r="BG135" s="116"/>
      <c r="BH135" s="116"/>
      <c r="BI135" s="115"/>
      <c r="BJ135" s="116"/>
      <c r="BK135" s="116"/>
      <c r="BL135" s="116"/>
      <c r="BM135" s="115"/>
      <c r="BN135" s="116"/>
      <c r="BO135" s="116"/>
      <c r="BP135" s="117"/>
      <c r="BQ135" s="38"/>
    </row>
    <row r="136" spans="3:69" ht="19.350000000000001" customHeight="1" x14ac:dyDescent="0.4">
      <c r="C136" s="33"/>
      <c r="D136" s="181"/>
      <c r="E136" s="181"/>
      <c r="F136" s="181"/>
      <c r="G136" s="181"/>
      <c r="H136" s="181"/>
      <c r="I136" s="181"/>
      <c r="J136" s="181"/>
      <c r="K136" s="181"/>
      <c r="L136" s="181"/>
      <c r="M136" s="181"/>
      <c r="N136" s="100"/>
      <c r="O136" s="101"/>
      <c r="P136" s="101"/>
      <c r="Q136" s="102"/>
      <c r="R136" s="39"/>
      <c r="S136" s="39"/>
      <c r="T136" s="39"/>
      <c r="U136" s="190"/>
      <c r="V136" s="191"/>
      <c r="W136" s="191"/>
      <c r="X136" s="191"/>
      <c r="Y136" s="191"/>
      <c r="Z136" s="191"/>
      <c r="AA136" s="191"/>
      <c r="AB136" s="191"/>
      <c r="AC136" s="190"/>
      <c r="AD136" s="191"/>
      <c r="AE136" s="191"/>
      <c r="AF136" s="191"/>
      <c r="AG136" s="191"/>
      <c r="AH136" s="191"/>
      <c r="AI136" s="191"/>
      <c r="AJ136" s="199"/>
      <c r="AK136" s="50"/>
      <c r="AL136" s="50"/>
      <c r="AM136" s="109"/>
      <c r="AN136" s="110"/>
      <c r="AO136" s="110"/>
      <c r="AP136" s="110"/>
      <c r="AQ136" s="110"/>
      <c r="AR136" s="110"/>
      <c r="AS136" s="110"/>
      <c r="AT136" s="110"/>
      <c r="AU136" s="110"/>
      <c r="AV136" s="110"/>
      <c r="AW136" s="110"/>
      <c r="AX136" s="110"/>
      <c r="AY136" s="110"/>
      <c r="AZ136" s="110"/>
      <c r="BA136" s="110"/>
      <c r="BB136" s="111"/>
      <c r="BC136" s="40"/>
      <c r="BD136" s="35"/>
      <c r="BE136" s="82"/>
      <c r="BF136" s="83"/>
      <c r="BG136" s="83"/>
      <c r="BH136" s="83"/>
      <c r="BI136" s="82"/>
      <c r="BJ136" s="83"/>
      <c r="BK136" s="83"/>
      <c r="BL136" s="83"/>
      <c r="BM136" s="82"/>
      <c r="BN136" s="83"/>
      <c r="BO136" s="83"/>
      <c r="BP136" s="86"/>
      <c r="BQ136" s="38"/>
    </row>
    <row r="137" spans="3:69" ht="15.6" customHeight="1" x14ac:dyDescent="0.4">
      <c r="C137" s="33"/>
      <c r="D137" s="181"/>
      <c r="E137" s="181"/>
      <c r="F137" s="181"/>
      <c r="G137" s="181"/>
      <c r="H137" s="181"/>
      <c r="I137" s="181"/>
      <c r="J137" s="181"/>
      <c r="K137" s="181"/>
      <c r="L137" s="181"/>
      <c r="M137" s="181"/>
      <c r="N137" s="100"/>
      <c r="O137" s="101"/>
      <c r="P137" s="101"/>
      <c r="Q137" s="102"/>
      <c r="R137" s="39"/>
      <c r="S137" s="39"/>
      <c r="T137" s="39"/>
      <c r="U137" s="118" t="str">
        <f>IF([6]回答表!F17="下水道事業",IF([6]回答表!X43="○",[6]回答表!Y184,IF([6]回答表!AA43="○",[6]回答表!Y232,"")),"")</f>
        <v/>
      </c>
      <c r="V137" s="119"/>
      <c r="W137" s="119"/>
      <c r="X137" s="119"/>
      <c r="Y137" s="119"/>
      <c r="Z137" s="119"/>
      <c r="AA137" s="119"/>
      <c r="AB137" s="120"/>
      <c r="AC137" s="118" t="str">
        <f>IF([6]回答表!F17="下水道事業",IF([6]回答表!X43="○",[6]回答表!Y185,IF([6]回答表!AA43="○",[6]回答表!Y233,"")),"")</f>
        <v/>
      </c>
      <c r="AD137" s="119"/>
      <c r="AE137" s="119"/>
      <c r="AF137" s="119"/>
      <c r="AG137" s="119"/>
      <c r="AH137" s="119"/>
      <c r="AI137" s="119"/>
      <c r="AJ137" s="120"/>
      <c r="AK137" s="50"/>
      <c r="AL137" s="50"/>
      <c r="AM137" s="109"/>
      <c r="AN137" s="110"/>
      <c r="AO137" s="110"/>
      <c r="AP137" s="110"/>
      <c r="AQ137" s="110"/>
      <c r="AR137" s="110"/>
      <c r="AS137" s="110"/>
      <c r="AT137" s="110"/>
      <c r="AU137" s="110"/>
      <c r="AV137" s="110"/>
      <c r="AW137" s="110"/>
      <c r="AX137" s="110"/>
      <c r="AY137" s="110"/>
      <c r="AZ137" s="110"/>
      <c r="BA137" s="110"/>
      <c r="BB137" s="111"/>
      <c r="BC137" s="40"/>
      <c r="BD137" s="35"/>
      <c r="BE137" s="82"/>
      <c r="BF137" s="83"/>
      <c r="BG137" s="83"/>
      <c r="BH137" s="83"/>
      <c r="BI137" s="82"/>
      <c r="BJ137" s="83"/>
      <c r="BK137" s="83"/>
      <c r="BL137" s="83"/>
      <c r="BM137" s="82"/>
      <c r="BN137" s="83"/>
      <c r="BO137" s="83"/>
      <c r="BP137" s="86"/>
      <c r="BQ137" s="38"/>
    </row>
    <row r="138" spans="3:69" ht="15.6" customHeight="1" x14ac:dyDescent="0.4">
      <c r="C138" s="33"/>
      <c r="D138" s="181"/>
      <c r="E138" s="181"/>
      <c r="F138" s="181"/>
      <c r="G138" s="181"/>
      <c r="H138" s="181"/>
      <c r="I138" s="181"/>
      <c r="J138" s="181"/>
      <c r="K138" s="181"/>
      <c r="L138" s="181"/>
      <c r="M138" s="181"/>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109"/>
      <c r="AN138" s="110"/>
      <c r="AO138" s="110"/>
      <c r="AP138" s="110"/>
      <c r="AQ138" s="110"/>
      <c r="AR138" s="110"/>
      <c r="AS138" s="110"/>
      <c r="AT138" s="110"/>
      <c r="AU138" s="110"/>
      <c r="AV138" s="110"/>
      <c r="AW138" s="110"/>
      <c r="AX138" s="110"/>
      <c r="AY138" s="110"/>
      <c r="AZ138" s="110"/>
      <c r="BA138" s="110"/>
      <c r="BB138" s="111"/>
      <c r="BC138" s="40"/>
      <c r="BD138" s="35"/>
      <c r="BE138" s="82" t="str">
        <f>IF([6]回答表!F17="下水道事業",IF([6]回答表!X43="○",[6]回答表!E190,IF([6]回答表!AA43="○",[6]回答表!E238,"")),"")</f>
        <v/>
      </c>
      <c r="BF138" s="83"/>
      <c r="BG138" s="83"/>
      <c r="BH138" s="83"/>
      <c r="BI138" s="82" t="str">
        <f>IF([6]回答表!F17="下水道事業",IF([6]回答表!X43="○",[6]回答表!E191,IF([6]回答表!AA43="○",[6]回答表!E239,"")),"")</f>
        <v/>
      </c>
      <c r="BJ138" s="83"/>
      <c r="BK138" s="83"/>
      <c r="BL138" s="83"/>
      <c r="BM138" s="82" t="str">
        <f>IF([6]回答表!F17="下水道事業",IF([6]回答表!X43="○",[6]回答表!E192,IF([6]回答表!AA43="○",[6]回答表!E240,"")),"")</f>
        <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109"/>
      <c r="AN139" s="110"/>
      <c r="AO139" s="110"/>
      <c r="AP139" s="110"/>
      <c r="AQ139" s="110"/>
      <c r="AR139" s="110"/>
      <c r="AS139" s="110"/>
      <c r="AT139" s="110"/>
      <c r="AU139" s="110"/>
      <c r="AV139" s="110"/>
      <c r="AW139" s="110"/>
      <c r="AX139" s="110"/>
      <c r="AY139" s="110"/>
      <c r="AZ139" s="110"/>
      <c r="BA139" s="110"/>
      <c r="BB139" s="111"/>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88" t="s">
        <v>51</v>
      </c>
      <c r="V140" s="189"/>
      <c r="W140" s="189"/>
      <c r="X140" s="189"/>
      <c r="Y140" s="189"/>
      <c r="Z140" s="189"/>
      <c r="AA140" s="189"/>
      <c r="AB140" s="189"/>
      <c r="AC140" s="192" t="s">
        <v>52</v>
      </c>
      <c r="AD140" s="193"/>
      <c r="AE140" s="193"/>
      <c r="AF140" s="193"/>
      <c r="AG140" s="193"/>
      <c r="AH140" s="193"/>
      <c r="AI140" s="193"/>
      <c r="AJ140" s="194"/>
      <c r="AK140" s="50"/>
      <c r="AL140" s="50"/>
      <c r="AM140" s="109"/>
      <c r="AN140" s="110"/>
      <c r="AO140" s="110"/>
      <c r="AP140" s="110"/>
      <c r="AQ140" s="110"/>
      <c r="AR140" s="110"/>
      <c r="AS140" s="110"/>
      <c r="AT140" s="110"/>
      <c r="AU140" s="110"/>
      <c r="AV140" s="110"/>
      <c r="AW140" s="110"/>
      <c r="AX140" s="110"/>
      <c r="AY140" s="110"/>
      <c r="AZ140" s="110"/>
      <c r="BA140" s="110"/>
      <c r="BB140" s="111"/>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86" t="s">
        <v>26</v>
      </c>
      <c r="E141" s="181"/>
      <c r="F141" s="181"/>
      <c r="G141" s="181"/>
      <c r="H141" s="181"/>
      <c r="I141" s="181"/>
      <c r="J141" s="181"/>
      <c r="K141" s="181"/>
      <c r="L141" s="181"/>
      <c r="M141" s="182"/>
      <c r="N141" s="97" t="str">
        <f>IF([6]回答表!F17="下水道事業",IF([6]回答表!AA43="○","○",""),"")</f>
        <v/>
      </c>
      <c r="O141" s="98"/>
      <c r="P141" s="98"/>
      <c r="Q141" s="99"/>
      <c r="R141" s="39"/>
      <c r="S141" s="39"/>
      <c r="T141" s="39"/>
      <c r="U141" s="190"/>
      <c r="V141" s="191"/>
      <c r="W141" s="191"/>
      <c r="X141" s="191"/>
      <c r="Y141" s="191"/>
      <c r="Z141" s="191"/>
      <c r="AA141" s="191"/>
      <c r="AB141" s="191"/>
      <c r="AC141" s="195"/>
      <c r="AD141" s="196"/>
      <c r="AE141" s="196"/>
      <c r="AF141" s="196"/>
      <c r="AG141" s="196"/>
      <c r="AH141" s="196"/>
      <c r="AI141" s="196"/>
      <c r="AJ141" s="197"/>
      <c r="AK141" s="50"/>
      <c r="AL141" s="50"/>
      <c r="AM141" s="109"/>
      <c r="AN141" s="110"/>
      <c r="AO141" s="110"/>
      <c r="AP141" s="110"/>
      <c r="AQ141" s="110"/>
      <c r="AR141" s="110"/>
      <c r="AS141" s="110"/>
      <c r="AT141" s="110"/>
      <c r="AU141" s="110"/>
      <c r="AV141" s="110"/>
      <c r="AW141" s="110"/>
      <c r="AX141" s="110"/>
      <c r="AY141" s="110"/>
      <c r="AZ141" s="110"/>
      <c r="BA141" s="110"/>
      <c r="BB141" s="111"/>
      <c r="BC141" s="40"/>
      <c r="BD141" s="54"/>
      <c r="BE141" s="82"/>
      <c r="BF141" s="83"/>
      <c r="BG141" s="83"/>
      <c r="BH141" s="83"/>
      <c r="BI141" s="82"/>
      <c r="BJ141" s="83"/>
      <c r="BK141" s="83"/>
      <c r="BL141" s="83"/>
      <c r="BM141" s="82"/>
      <c r="BN141" s="83"/>
      <c r="BO141" s="83"/>
      <c r="BP141" s="86"/>
      <c r="BQ141" s="38"/>
    </row>
    <row r="142" spans="3:69" ht="15.6" customHeight="1" x14ac:dyDescent="0.4">
      <c r="C142" s="33"/>
      <c r="D142" s="181"/>
      <c r="E142" s="181"/>
      <c r="F142" s="181"/>
      <c r="G142" s="181"/>
      <c r="H142" s="181"/>
      <c r="I142" s="181"/>
      <c r="J142" s="181"/>
      <c r="K142" s="181"/>
      <c r="L142" s="181"/>
      <c r="M142" s="182"/>
      <c r="N142" s="100"/>
      <c r="O142" s="101"/>
      <c r="P142" s="101"/>
      <c r="Q142" s="102"/>
      <c r="R142" s="39"/>
      <c r="S142" s="39"/>
      <c r="T142" s="39"/>
      <c r="U142" s="118" t="str">
        <f>IF([6]回答表!F17="下水道事業",IF([6]回答表!X43="○",[6]回答表!Y186,IF([6]回答表!AA43="○",[6]回答表!Y234,"")),"")</f>
        <v/>
      </c>
      <c r="V142" s="119"/>
      <c r="W142" s="119"/>
      <c r="X142" s="119"/>
      <c r="Y142" s="119"/>
      <c r="Z142" s="119"/>
      <c r="AA142" s="119"/>
      <c r="AB142" s="120"/>
      <c r="AC142" s="118" t="str">
        <f>IF([6]回答表!F17="下水道事業",IF([6]回答表!X43="○",[6]回答表!Y187,IF([6]回答表!AA43="○",[6]回答表!Y235,"")),"")</f>
        <v/>
      </c>
      <c r="AD142" s="119"/>
      <c r="AE142" s="119"/>
      <c r="AF142" s="119"/>
      <c r="AG142" s="119"/>
      <c r="AH142" s="119"/>
      <c r="AI142" s="119"/>
      <c r="AJ142" s="120"/>
      <c r="AK142" s="50"/>
      <c r="AL142" s="50"/>
      <c r="AM142" s="109"/>
      <c r="AN142" s="110"/>
      <c r="AO142" s="110"/>
      <c r="AP142" s="110"/>
      <c r="AQ142" s="110"/>
      <c r="AR142" s="110"/>
      <c r="AS142" s="110"/>
      <c r="AT142" s="110"/>
      <c r="AU142" s="110"/>
      <c r="AV142" s="110"/>
      <c r="AW142" s="110"/>
      <c r="AX142" s="110"/>
      <c r="AY142" s="110"/>
      <c r="AZ142" s="110"/>
      <c r="BA142" s="110"/>
      <c r="BB142" s="111"/>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81"/>
      <c r="E143" s="181"/>
      <c r="F143" s="181"/>
      <c r="G143" s="181"/>
      <c r="H143" s="181"/>
      <c r="I143" s="181"/>
      <c r="J143" s="181"/>
      <c r="K143" s="181"/>
      <c r="L143" s="181"/>
      <c r="M143" s="182"/>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109"/>
      <c r="AN143" s="110"/>
      <c r="AO143" s="110"/>
      <c r="AP143" s="110"/>
      <c r="AQ143" s="110"/>
      <c r="AR143" s="110"/>
      <c r="AS143" s="110"/>
      <c r="AT143" s="110"/>
      <c r="AU143" s="110"/>
      <c r="AV143" s="110"/>
      <c r="AW143" s="110"/>
      <c r="AX143" s="110"/>
      <c r="AY143" s="110"/>
      <c r="AZ143" s="110"/>
      <c r="BA143" s="110"/>
      <c r="BB143" s="111"/>
      <c r="BC143" s="40"/>
      <c r="BD143" s="54"/>
      <c r="BE143" s="82"/>
      <c r="BF143" s="83"/>
      <c r="BG143" s="83"/>
      <c r="BH143" s="83"/>
      <c r="BI143" s="82"/>
      <c r="BJ143" s="83"/>
      <c r="BK143" s="83"/>
      <c r="BL143" s="83"/>
      <c r="BM143" s="82"/>
      <c r="BN143" s="83"/>
      <c r="BO143" s="83"/>
      <c r="BP143" s="86"/>
      <c r="BQ143" s="38"/>
    </row>
    <row r="144" spans="3:69" ht="15.6" customHeight="1" x14ac:dyDescent="0.4">
      <c r="C144" s="33"/>
      <c r="D144" s="181"/>
      <c r="E144" s="181"/>
      <c r="F144" s="181"/>
      <c r="G144" s="181"/>
      <c r="H144" s="181"/>
      <c r="I144" s="181"/>
      <c r="J144" s="181"/>
      <c r="K144" s="181"/>
      <c r="L144" s="181"/>
      <c r="M144" s="182"/>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112"/>
      <c r="AN144" s="113"/>
      <c r="AO144" s="113"/>
      <c r="AP144" s="113"/>
      <c r="AQ144" s="113"/>
      <c r="AR144" s="113"/>
      <c r="AS144" s="113"/>
      <c r="AT144" s="113"/>
      <c r="AU144" s="113"/>
      <c r="AV144" s="113"/>
      <c r="AW144" s="113"/>
      <c r="AX144" s="113"/>
      <c r="AY144" s="113"/>
      <c r="AZ144" s="113"/>
      <c r="BA144" s="113"/>
      <c r="BB144" s="114"/>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81" t="s">
        <v>34</v>
      </c>
      <c r="E147" s="181"/>
      <c r="F147" s="181"/>
      <c r="G147" s="181"/>
      <c r="H147" s="181"/>
      <c r="I147" s="181"/>
      <c r="J147" s="181"/>
      <c r="K147" s="181"/>
      <c r="L147" s="181"/>
      <c r="M147" s="182"/>
      <c r="N147" s="97" t="str">
        <f>IF([6]回答表!F17="下水道事業",IF([6]回答表!AD43="○","○",""),"")</f>
        <v/>
      </c>
      <c r="O147" s="98"/>
      <c r="P147" s="98"/>
      <c r="Q147" s="99"/>
      <c r="R147" s="39"/>
      <c r="S147" s="39"/>
      <c r="T147" s="39"/>
      <c r="U147" s="106" t="str">
        <f>IF([6]回答表!F17="下水道事業",IF([6]回答表!AD43="○",[6]回答表!B249,""),"")</f>
        <v/>
      </c>
      <c r="V147" s="107"/>
      <c r="W147" s="107"/>
      <c r="X147" s="107"/>
      <c r="Y147" s="107"/>
      <c r="Z147" s="107"/>
      <c r="AA147" s="107"/>
      <c r="AB147" s="107"/>
      <c r="AC147" s="107"/>
      <c r="AD147" s="107"/>
      <c r="AE147" s="107"/>
      <c r="AF147" s="107"/>
      <c r="AG147" s="107"/>
      <c r="AH147" s="107"/>
      <c r="AI147" s="107"/>
      <c r="AJ147" s="108"/>
      <c r="AK147" s="56"/>
      <c r="AL147" s="56"/>
      <c r="AM147" s="106" t="str">
        <f>IF([6]回答表!F17="下水道事業",IF([6]回答表!AD43="○",[6]回答表!B255,""),"")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81"/>
      <c r="E148" s="181"/>
      <c r="F148" s="181"/>
      <c r="G148" s="181"/>
      <c r="H148" s="181"/>
      <c r="I148" s="181"/>
      <c r="J148" s="181"/>
      <c r="K148" s="181"/>
      <c r="L148" s="181"/>
      <c r="M148" s="182"/>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81"/>
      <c r="E149" s="181"/>
      <c r="F149" s="181"/>
      <c r="G149" s="181"/>
      <c r="H149" s="181"/>
      <c r="I149" s="181"/>
      <c r="J149" s="181"/>
      <c r="K149" s="181"/>
      <c r="L149" s="181"/>
      <c r="M149" s="182"/>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81"/>
      <c r="E150" s="181"/>
      <c r="F150" s="181"/>
      <c r="G150" s="181"/>
      <c r="H150" s="181"/>
      <c r="I150" s="181"/>
      <c r="J150" s="181"/>
      <c r="K150" s="181"/>
      <c r="L150" s="181"/>
      <c r="M150" s="182"/>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62"/>
      <c r="AS153" s="162"/>
      <c r="AT153" s="162"/>
      <c r="AU153" s="162"/>
      <c r="AV153" s="162"/>
      <c r="AW153" s="162"/>
      <c r="AX153" s="162"/>
      <c r="AY153" s="162"/>
      <c r="AZ153" s="162"/>
      <c r="BA153" s="162"/>
      <c r="BB153" s="162"/>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87"/>
      <c r="AS154" s="187"/>
      <c r="AT154" s="187"/>
      <c r="AU154" s="187"/>
      <c r="AV154" s="187"/>
      <c r="AW154" s="187"/>
      <c r="AX154" s="187"/>
      <c r="AY154" s="187"/>
      <c r="AZ154" s="187"/>
      <c r="BA154" s="187"/>
      <c r="BB154" s="187"/>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81" t="s">
        <v>18</v>
      </c>
      <c r="E159" s="181"/>
      <c r="F159" s="181"/>
      <c r="G159" s="181"/>
      <c r="H159" s="181"/>
      <c r="I159" s="181"/>
      <c r="J159" s="181"/>
      <c r="K159" s="181"/>
      <c r="L159" s="181"/>
      <c r="M159" s="181"/>
      <c r="N159" s="97" t="str">
        <f>IF([6]回答表!BD17="○",IF([6]回答表!X43="○","○",""),"")</f>
        <v/>
      </c>
      <c r="O159" s="98"/>
      <c r="P159" s="98"/>
      <c r="Q159" s="99"/>
      <c r="R159" s="39"/>
      <c r="S159" s="39"/>
      <c r="T159" s="39"/>
      <c r="U159" s="106" t="str">
        <f>IF([6]回答表!BD17="○",IF([6]回答表!X43="○",[6]回答表!B154,IF([6]回答表!AA43="○",[6]回答表!B201,"")),"")</f>
        <v/>
      </c>
      <c r="V159" s="107"/>
      <c r="W159" s="107"/>
      <c r="X159" s="107"/>
      <c r="Y159" s="107"/>
      <c r="Z159" s="107"/>
      <c r="AA159" s="107"/>
      <c r="AB159" s="107"/>
      <c r="AC159" s="107"/>
      <c r="AD159" s="107"/>
      <c r="AE159" s="107"/>
      <c r="AF159" s="107"/>
      <c r="AG159" s="107"/>
      <c r="AH159" s="107"/>
      <c r="AI159" s="107"/>
      <c r="AJ159" s="108"/>
      <c r="AK159" s="50"/>
      <c r="AL159" s="50"/>
      <c r="AM159" s="115" t="str">
        <f>IF([6]回答表!BD17="○",IF([6]回答表!X43="○",[6]回答表!B190,IF([6]回答表!AA43="○",[6]回答表!B238,"")),"")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81"/>
      <c r="E160" s="181"/>
      <c r="F160" s="181"/>
      <c r="G160" s="181"/>
      <c r="H160" s="181"/>
      <c r="I160" s="181"/>
      <c r="J160" s="181"/>
      <c r="K160" s="181"/>
      <c r="L160" s="181"/>
      <c r="M160" s="181"/>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81"/>
      <c r="E161" s="181"/>
      <c r="F161" s="181"/>
      <c r="G161" s="181"/>
      <c r="H161" s="181"/>
      <c r="I161" s="181"/>
      <c r="J161" s="181"/>
      <c r="K161" s="181"/>
      <c r="L161" s="181"/>
      <c r="M161" s="181"/>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81"/>
      <c r="E162" s="181"/>
      <c r="F162" s="181"/>
      <c r="G162" s="181"/>
      <c r="H162" s="181"/>
      <c r="I162" s="181"/>
      <c r="J162" s="181"/>
      <c r="K162" s="181"/>
      <c r="L162" s="181"/>
      <c r="M162" s="181"/>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IF([6]回答表!BD17="○",IF([6]回答表!X43="○",[6]回答表!E190,IF([6]回答表!AA43="○",[6]回答表!E238,"")),"")</f>
        <v/>
      </c>
      <c r="AN162" s="83"/>
      <c r="AO162" s="83"/>
      <c r="AP162" s="83"/>
      <c r="AQ162" s="82" t="str">
        <f>IF([6]回答表!BD17="○",IF([6]回答表!X43="○",[6]回答表!E191,IF([6]回答表!AA43="○",[6]回答表!E239,"")),"")</f>
        <v/>
      </c>
      <c r="AR162" s="83"/>
      <c r="AS162" s="83"/>
      <c r="AT162" s="83"/>
      <c r="AU162" s="82" t="str">
        <f>IF([6]回答表!BD17="○",IF([6]回答表!X43="○",[6]回答表!E192,IF([6]回答表!AA43="○",[6]回答表!E240,"")),"")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86" t="s">
        <v>26</v>
      </c>
      <c r="E165" s="181"/>
      <c r="F165" s="181"/>
      <c r="G165" s="181"/>
      <c r="H165" s="181"/>
      <c r="I165" s="181"/>
      <c r="J165" s="181"/>
      <c r="K165" s="181"/>
      <c r="L165" s="181"/>
      <c r="M165" s="182"/>
      <c r="N165" s="97" t="str">
        <f>IF([6]回答表!BD17="○",IF([6]回答表!AA43="○","○",""),"")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81"/>
      <c r="E166" s="181"/>
      <c r="F166" s="181"/>
      <c r="G166" s="181"/>
      <c r="H166" s="181"/>
      <c r="I166" s="181"/>
      <c r="J166" s="181"/>
      <c r="K166" s="181"/>
      <c r="L166" s="181"/>
      <c r="M166" s="182"/>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81"/>
      <c r="E167" s="181"/>
      <c r="F167" s="181"/>
      <c r="G167" s="181"/>
      <c r="H167" s="181"/>
      <c r="I167" s="181"/>
      <c r="J167" s="181"/>
      <c r="K167" s="181"/>
      <c r="L167" s="181"/>
      <c r="M167" s="182"/>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81"/>
      <c r="E168" s="181"/>
      <c r="F168" s="181"/>
      <c r="G168" s="181"/>
      <c r="H168" s="181"/>
      <c r="I168" s="181"/>
      <c r="J168" s="181"/>
      <c r="K168" s="181"/>
      <c r="L168" s="181"/>
      <c r="M168" s="182"/>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81" t="s">
        <v>34</v>
      </c>
      <c r="E171" s="181"/>
      <c r="F171" s="181"/>
      <c r="G171" s="181"/>
      <c r="H171" s="181"/>
      <c r="I171" s="181"/>
      <c r="J171" s="181"/>
      <c r="K171" s="181"/>
      <c r="L171" s="181"/>
      <c r="M171" s="182"/>
      <c r="N171" s="97" t="str">
        <f>IF([6]回答表!BD17="○",IF([6]回答表!AD43="○","○",""),"")</f>
        <v/>
      </c>
      <c r="O171" s="98"/>
      <c r="P171" s="98"/>
      <c r="Q171" s="99"/>
      <c r="R171" s="39"/>
      <c r="S171" s="39"/>
      <c r="T171" s="39"/>
      <c r="U171" s="106" t="str">
        <f>IF([6]回答表!BD17="○",IF([6]回答表!AD43="○",[6]回答表!B249,""),"")</f>
        <v/>
      </c>
      <c r="V171" s="107"/>
      <c r="W171" s="107"/>
      <c r="X171" s="107"/>
      <c r="Y171" s="107"/>
      <c r="Z171" s="107"/>
      <c r="AA171" s="107"/>
      <c r="AB171" s="107"/>
      <c r="AC171" s="107"/>
      <c r="AD171" s="107"/>
      <c r="AE171" s="107"/>
      <c r="AF171" s="107"/>
      <c r="AG171" s="107"/>
      <c r="AH171" s="107"/>
      <c r="AI171" s="107"/>
      <c r="AJ171" s="108"/>
      <c r="AK171" s="56"/>
      <c r="AL171" s="56"/>
      <c r="AM171" s="106" t="str">
        <f>IF([6]回答表!BD17="○",IF([6]回答表!AD43="○",[6]回答表!B255,""),"")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81"/>
      <c r="E172" s="181"/>
      <c r="F172" s="181"/>
      <c r="G172" s="181"/>
      <c r="H172" s="181"/>
      <c r="I172" s="181"/>
      <c r="J172" s="181"/>
      <c r="K172" s="181"/>
      <c r="L172" s="181"/>
      <c r="M172" s="182"/>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81"/>
      <c r="E173" s="181"/>
      <c r="F173" s="181"/>
      <c r="G173" s="181"/>
      <c r="H173" s="181"/>
      <c r="I173" s="181"/>
      <c r="J173" s="181"/>
      <c r="K173" s="181"/>
      <c r="L173" s="181"/>
      <c r="M173" s="182"/>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81"/>
      <c r="E174" s="181"/>
      <c r="F174" s="181"/>
      <c r="G174" s="181"/>
      <c r="H174" s="181"/>
      <c r="I174" s="181"/>
      <c r="J174" s="181"/>
      <c r="K174" s="181"/>
      <c r="L174" s="181"/>
      <c r="M174" s="182"/>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62"/>
      <c r="AS177" s="162"/>
      <c r="AT177" s="162"/>
      <c r="AU177" s="162"/>
      <c r="AV177" s="162"/>
      <c r="AW177" s="162"/>
      <c r="AX177" s="162"/>
      <c r="AY177" s="162"/>
      <c r="AZ177" s="162"/>
      <c r="BA177" s="162"/>
      <c r="BB177" s="162"/>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87"/>
      <c r="AS178" s="187"/>
      <c r="AT178" s="187"/>
      <c r="AU178" s="187"/>
      <c r="AV178" s="187"/>
      <c r="AW178" s="187"/>
      <c r="AX178" s="187"/>
      <c r="AY178" s="187"/>
      <c r="AZ178" s="187"/>
      <c r="BA178" s="187"/>
      <c r="BB178" s="187"/>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81" t="s">
        <v>18</v>
      </c>
      <c r="E183" s="181"/>
      <c r="F183" s="181"/>
      <c r="G183" s="181"/>
      <c r="H183" s="181"/>
      <c r="I183" s="181"/>
      <c r="J183" s="181"/>
      <c r="K183" s="181"/>
      <c r="L183" s="181"/>
      <c r="M183" s="181"/>
      <c r="N183" s="97" t="str">
        <f>IF([6]回答表!X44="○","○","")</f>
        <v>○</v>
      </c>
      <c r="O183" s="98"/>
      <c r="P183" s="98"/>
      <c r="Q183" s="99"/>
      <c r="R183" s="39"/>
      <c r="S183" s="39"/>
      <c r="T183" s="39"/>
      <c r="U183" s="106" t="str">
        <f>IF([6]回答表!X44="○",[6]回答表!B266,IF([6]回答表!AA44="○",[6]回答表!B283,""))</f>
        <v>特別養護老人ホーム（定員１１０人）の管理・運営
住民サービスの充実、介護サービスの質の向上が図られた。</v>
      </c>
      <c r="V183" s="107"/>
      <c r="W183" s="107"/>
      <c r="X183" s="107"/>
      <c r="Y183" s="107"/>
      <c r="Z183" s="107"/>
      <c r="AA183" s="107"/>
      <c r="AB183" s="107"/>
      <c r="AC183" s="107"/>
      <c r="AD183" s="107"/>
      <c r="AE183" s="107"/>
      <c r="AF183" s="107"/>
      <c r="AG183" s="107"/>
      <c r="AH183" s="107"/>
      <c r="AI183" s="107"/>
      <c r="AJ183" s="108"/>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IF([6]回答表!X44="○",[6]回答表!U272,IF([6]回答表!AA44="○",[6]回答表!U289,""))</f>
        <v>平成</v>
      </c>
      <c r="BF183" s="116"/>
      <c r="BG183" s="116"/>
      <c r="BH183" s="116"/>
      <c r="BI183" s="115"/>
      <c r="BJ183" s="116"/>
      <c r="BK183" s="116"/>
      <c r="BL183" s="116"/>
      <c r="BM183" s="115"/>
      <c r="BN183" s="116"/>
      <c r="BO183" s="116"/>
      <c r="BP183" s="117"/>
      <c r="BQ183" s="38"/>
      <c r="BR183" s="25"/>
    </row>
    <row r="184" spans="3:70" ht="15.6" customHeight="1" x14ac:dyDescent="0.4">
      <c r="C184" s="33"/>
      <c r="D184" s="181"/>
      <c r="E184" s="181"/>
      <c r="F184" s="181"/>
      <c r="G184" s="181"/>
      <c r="H184" s="181"/>
      <c r="I184" s="181"/>
      <c r="J184" s="181"/>
      <c r="K184" s="181"/>
      <c r="L184" s="181"/>
      <c r="M184" s="181"/>
      <c r="N184" s="100"/>
      <c r="O184" s="101"/>
      <c r="P184" s="101"/>
      <c r="Q184" s="102"/>
      <c r="R184" s="39"/>
      <c r="S184" s="39"/>
      <c r="T184" s="39"/>
      <c r="U184" s="109"/>
      <c r="V184" s="110"/>
      <c r="W184" s="110"/>
      <c r="X184" s="110"/>
      <c r="Y184" s="110"/>
      <c r="Z184" s="110"/>
      <c r="AA184" s="110"/>
      <c r="AB184" s="110"/>
      <c r="AC184" s="110"/>
      <c r="AD184" s="110"/>
      <c r="AE184" s="110"/>
      <c r="AF184" s="110"/>
      <c r="AG184" s="110"/>
      <c r="AH184" s="110"/>
      <c r="AI184" s="110"/>
      <c r="AJ184" s="111"/>
      <c r="AK184" s="50"/>
      <c r="AL184" s="50"/>
      <c r="AM184" s="183"/>
      <c r="AN184" s="184"/>
      <c r="AO184" s="184"/>
      <c r="AP184" s="184"/>
      <c r="AQ184" s="184"/>
      <c r="AR184" s="184"/>
      <c r="AS184" s="184"/>
      <c r="AT184" s="185"/>
      <c r="AU184" s="183"/>
      <c r="AV184" s="184"/>
      <c r="AW184" s="184"/>
      <c r="AX184" s="184"/>
      <c r="AY184" s="184"/>
      <c r="AZ184" s="184"/>
      <c r="BA184" s="184"/>
      <c r="BB184" s="185"/>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81"/>
      <c r="E185" s="181"/>
      <c r="F185" s="181"/>
      <c r="G185" s="181"/>
      <c r="H185" s="181"/>
      <c r="I185" s="181"/>
      <c r="J185" s="181"/>
      <c r="K185" s="181"/>
      <c r="L185" s="181"/>
      <c r="M185" s="181"/>
      <c r="N185" s="100"/>
      <c r="O185" s="101"/>
      <c r="P185" s="101"/>
      <c r="Q185" s="102"/>
      <c r="R185" s="39"/>
      <c r="S185" s="39"/>
      <c r="T185" s="39"/>
      <c r="U185" s="109"/>
      <c r="V185" s="110"/>
      <c r="W185" s="110"/>
      <c r="X185" s="110"/>
      <c r="Y185" s="110"/>
      <c r="Z185" s="110"/>
      <c r="AA185" s="110"/>
      <c r="AB185" s="110"/>
      <c r="AC185" s="110"/>
      <c r="AD185" s="110"/>
      <c r="AE185" s="110"/>
      <c r="AF185" s="110"/>
      <c r="AG185" s="110"/>
      <c r="AH185" s="110"/>
      <c r="AI185" s="110"/>
      <c r="AJ185" s="111"/>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81"/>
      <c r="E186" s="181"/>
      <c r="F186" s="181"/>
      <c r="G186" s="181"/>
      <c r="H186" s="181"/>
      <c r="I186" s="181"/>
      <c r="J186" s="181"/>
      <c r="K186" s="181"/>
      <c r="L186" s="181"/>
      <c r="M186" s="181"/>
      <c r="N186" s="103"/>
      <c r="O186" s="104"/>
      <c r="P186" s="104"/>
      <c r="Q186" s="105"/>
      <c r="R186" s="39"/>
      <c r="S186" s="39"/>
      <c r="T186" s="39"/>
      <c r="U186" s="109"/>
      <c r="V186" s="110"/>
      <c r="W186" s="110"/>
      <c r="X186" s="110"/>
      <c r="Y186" s="110"/>
      <c r="Z186" s="110"/>
      <c r="AA186" s="110"/>
      <c r="AB186" s="110"/>
      <c r="AC186" s="110"/>
      <c r="AD186" s="110"/>
      <c r="AE186" s="110"/>
      <c r="AF186" s="110"/>
      <c r="AG186" s="110"/>
      <c r="AH186" s="110"/>
      <c r="AI186" s="110"/>
      <c r="AJ186" s="111"/>
      <c r="AK186" s="50"/>
      <c r="AL186" s="50"/>
      <c r="AM186" s="118">
        <f>IF([6]回答表!X44="○",[6]回答表!G272,IF([6]回答表!AA44="○",[6]回答表!G289,""))</f>
        <v>0</v>
      </c>
      <c r="AN186" s="119"/>
      <c r="AO186" s="119"/>
      <c r="AP186" s="119"/>
      <c r="AQ186" s="119"/>
      <c r="AR186" s="119"/>
      <c r="AS186" s="119"/>
      <c r="AT186" s="120"/>
      <c r="AU186" s="118" t="str">
        <f>IF([6]回答表!X44="○",[6]回答表!G273,IF([6]回答表!AA44="○",[6]回答表!G290,""))</f>
        <v>○</v>
      </c>
      <c r="AV186" s="119"/>
      <c r="AW186" s="119"/>
      <c r="AX186" s="119"/>
      <c r="AY186" s="119"/>
      <c r="AZ186" s="119"/>
      <c r="BA186" s="119"/>
      <c r="BB186" s="120"/>
      <c r="BC186" s="40"/>
      <c r="BD186" s="35"/>
      <c r="BE186" s="82">
        <f>IF([6]回答表!X44="○",[6]回答表!X272,IF([6]回答表!AA44="○",[6]回答表!X289,""))</f>
        <v>18</v>
      </c>
      <c r="BF186" s="83"/>
      <c r="BG186" s="83"/>
      <c r="BH186" s="83"/>
      <c r="BI186" s="82">
        <f>IF([6]回答表!X44="○",[6]回答表!X273,IF([6]回答表!AA44="○",[6]回答表!X290,""))</f>
        <v>4</v>
      </c>
      <c r="BJ186" s="83"/>
      <c r="BK186" s="83"/>
      <c r="BL186" s="86"/>
      <c r="BM186" s="82">
        <f>IF([6]回答表!X44="○",[6]回答表!X274,IF([6]回答表!AA44="○",[6]回答表!X291,""))</f>
        <v>1</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09"/>
      <c r="V187" s="110"/>
      <c r="W187" s="110"/>
      <c r="X187" s="110"/>
      <c r="Y187" s="110"/>
      <c r="Z187" s="110"/>
      <c r="AA187" s="110"/>
      <c r="AB187" s="110"/>
      <c r="AC187" s="110"/>
      <c r="AD187" s="110"/>
      <c r="AE187" s="110"/>
      <c r="AF187" s="110"/>
      <c r="AG187" s="110"/>
      <c r="AH187" s="110"/>
      <c r="AI187" s="110"/>
      <c r="AJ187" s="111"/>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09"/>
      <c r="V188" s="110"/>
      <c r="W188" s="110"/>
      <c r="X188" s="110"/>
      <c r="Y188" s="110"/>
      <c r="Z188" s="110"/>
      <c r="AA188" s="110"/>
      <c r="AB188" s="110"/>
      <c r="AC188" s="110"/>
      <c r="AD188" s="110"/>
      <c r="AE188" s="110"/>
      <c r="AF188" s="110"/>
      <c r="AG188" s="110"/>
      <c r="AH188" s="110"/>
      <c r="AI188" s="110"/>
      <c r="AJ188" s="111"/>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86" t="s">
        <v>26</v>
      </c>
      <c r="E189" s="181"/>
      <c r="F189" s="181"/>
      <c r="G189" s="181"/>
      <c r="H189" s="181"/>
      <c r="I189" s="181"/>
      <c r="J189" s="181"/>
      <c r="K189" s="181"/>
      <c r="L189" s="181"/>
      <c r="M189" s="182"/>
      <c r="N189" s="97" t="str">
        <f>IF([6]回答表!AA44="○","○","")</f>
        <v/>
      </c>
      <c r="O189" s="98"/>
      <c r="P189" s="98"/>
      <c r="Q189" s="99"/>
      <c r="R189" s="39"/>
      <c r="S189" s="39"/>
      <c r="T189" s="39"/>
      <c r="U189" s="109"/>
      <c r="V189" s="110"/>
      <c r="W189" s="110"/>
      <c r="X189" s="110"/>
      <c r="Y189" s="110"/>
      <c r="Z189" s="110"/>
      <c r="AA189" s="110"/>
      <c r="AB189" s="110"/>
      <c r="AC189" s="110"/>
      <c r="AD189" s="110"/>
      <c r="AE189" s="110"/>
      <c r="AF189" s="110"/>
      <c r="AG189" s="110"/>
      <c r="AH189" s="110"/>
      <c r="AI189" s="110"/>
      <c r="AJ189" s="111"/>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81"/>
      <c r="E190" s="181"/>
      <c r="F190" s="181"/>
      <c r="G190" s="181"/>
      <c r="H190" s="181"/>
      <c r="I190" s="181"/>
      <c r="J190" s="181"/>
      <c r="K190" s="181"/>
      <c r="L190" s="181"/>
      <c r="M190" s="182"/>
      <c r="N190" s="100"/>
      <c r="O190" s="101"/>
      <c r="P190" s="101"/>
      <c r="Q190" s="102"/>
      <c r="R190" s="39"/>
      <c r="S190" s="39"/>
      <c r="T190" s="39"/>
      <c r="U190" s="109"/>
      <c r="V190" s="110"/>
      <c r="W190" s="110"/>
      <c r="X190" s="110"/>
      <c r="Y190" s="110"/>
      <c r="Z190" s="110"/>
      <c r="AA190" s="110"/>
      <c r="AB190" s="110"/>
      <c r="AC190" s="110"/>
      <c r="AD190" s="110"/>
      <c r="AE190" s="110"/>
      <c r="AF190" s="110"/>
      <c r="AG190" s="110"/>
      <c r="AH190" s="110"/>
      <c r="AI190" s="110"/>
      <c r="AJ190" s="111"/>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81"/>
      <c r="E191" s="181"/>
      <c r="F191" s="181"/>
      <c r="G191" s="181"/>
      <c r="H191" s="181"/>
      <c r="I191" s="181"/>
      <c r="J191" s="181"/>
      <c r="K191" s="181"/>
      <c r="L191" s="181"/>
      <c r="M191" s="182"/>
      <c r="N191" s="100"/>
      <c r="O191" s="101"/>
      <c r="P191" s="101"/>
      <c r="Q191" s="102"/>
      <c r="R191" s="39"/>
      <c r="S191" s="39"/>
      <c r="T191" s="39"/>
      <c r="U191" s="109"/>
      <c r="V191" s="110"/>
      <c r="W191" s="110"/>
      <c r="X191" s="110"/>
      <c r="Y191" s="110"/>
      <c r="Z191" s="110"/>
      <c r="AA191" s="110"/>
      <c r="AB191" s="110"/>
      <c r="AC191" s="110"/>
      <c r="AD191" s="110"/>
      <c r="AE191" s="110"/>
      <c r="AF191" s="110"/>
      <c r="AG191" s="110"/>
      <c r="AH191" s="110"/>
      <c r="AI191" s="110"/>
      <c r="AJ191" s="111"/>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81"/>
      <c r="E192" s="181"/>
      <c r="F192" s="181"/>
      <c r="G192" s="181"/>
      <c r="H192" s="181"/>
      <c r="I192" s="181"/>
      <c r="J192" s="181"/>
      <c r="K192" s="181"/>
      <c r="L192" s="181"/>
      <c r="M192" s="182"/>
      <c r="N192" s="103"/>
      <c r="O192" s="104"/>
      <c r="P192" s="104"/>
      <c r="Q192" s="105"/>
      <c r="R192" s="39"/>
      <c r="S192" s="39"/>
      <c r="T192" s="39"/>
      <c r="U192" s="112"/>
      <c r="V192" s="113"/>
      <c r="W192" s="113"/>
      <c r="X192" s="113"/>
      <c r="Y192" s="113"/>
      <c r="Z192" s="113"/>
      <c r="AA192" s="113"/>
      <c r="AB192" s="113"/>
      <c r="AC192" s="113"/>
      <c r="AD192" s="113"/>
      <c r="AE192" s="113"/>
      <c r="AF192" s="113"/>
      <c r="AG192" s="113"/>
      <c r="AH192" s="113"/>
      <c r="AI192" s="113"/>
      <c r="AJ192" s="114"/>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81" t="s">
        <v>34</v>
      </c>
      <c r="E195" s="181"/>
      <c r="F195" s="181"/>
      <c r="G195" s="181"/>
      <c r="H195" s="181"/>
      <c r="I195" s="181"/>
      <c r="J195" s="181"/>
      <c r="K195" s="181"/>
      <c r="L195" s="181"/>
      <c r="M195" s="182"/>
      <c r="N195" s="97" t="str">
        <f>IF([6]回答表!AD44="○","○","")</f>
        <v/>
      </c>
      <c r="O195" s="98"/>
      <c r="P195" s="98"/>
      <c r="Q195" s="99"/>
      <c r="R195" s="39"/>
      <c r="S195" s="39"/>
      <c r="T195" s="39"/>
      <c r="U195" s="106" t="str">
        <f>IF([6]回答表!AD44="○",[6]回答表!B296,"")</f>
        <v/>
      </c>
      <c r="V195" s="107"/>
      <c r="W195" s="107"/>
      <c r="X195" s="107"/>
      <c r="Y195" s="107"/>
      <c r="Z195" s="107"/>
      <c r="AA195" s="107"/>
      <c r="AB195" s="107"/>
      <c r="AC195" s="107"/>
      <c r="AD195" s="107"/>
      <c r="AE195" s="107"/>
      <c r="AF195" s="107"/>
      <c r="AG195" s="107"/>
      <c r="AH195" s="107"/>
      <c r="AI195" s="107"/>
      <c r="AJ195" s="108"/>
      <c r="AK195" s="61"/>
      <c r="AL195" s="61"/>
      <c r="AM195" s="106" t="str">
        <f>IF([6]回答表!AD44="○",[6]回答表!B302,"")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81"/>
      <c r="E196" s="181"/>
      <c r="F196" s="181"/>
      <c r="G196" s="181"/>
      <c r="H196" s="181"/>
      <c r="I196" s="181"/>
      <c r="J196" s="181"/>
      <c r="K196" s="181"/>
      <c r="L196" s="181"/>
      <c r="M196" s="182"/>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81"/>
      <c r="E197" s="181"/>
      <c r="F197" s="181"/>
      <c r="G197" s="181"/>
      <c r="H197" s="181"/>
      <c r="I197" s="181"/>
      <c r="J197" s="181"/>
      <c r="K197" s="181"/>
      <c r="L197" s="181"/>
      <c r="M197" s="182"/>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81"/>
      <c r="E198" s="181"/>
      <c r="F198" s="181"/>
      <c r="G198" s="181"/>
      <c r="H198" s="181"/>
      <c r="I198" s="181"/>
      <c r="J198" s="181"/>
      <c r="K198" s="181"/>
      <c r="L198" s="181"/>
      <c r="M198" s="182"/>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62"/>
      <c r="AS201" s="162"/>
      <c r="AT201" s="162"/>
      <c r="AU201" s="162"/>
      <c r="AV201" s="162"/>
      <c r="AW201" s="162"/>
      <c r="AX201" s="162"/>
      <c r="AY201" s="162"/>
      <c r="AZ201" s="162"/>
      <c r="BA201" s="162"/>
      <c r="BB201" s="162"/>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63"/>
      <c r="AS202" s="163"/>
      <c r="AT202" s="163"/>
      <c r="AU202" s="163"/>
      <c r="AV202" s="163"/>
      <c r="AW202" s="163"/>
      <c r="AX202" s="163"/>
      <c r="AY202" s="163"/>
      <c r="AZ202" s="163"/>
      <c r="BA202" s="163"/>
      <c r="BB202" s="163"/>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IF([6]回答表!X45="○","○","")</f>
        <v/>
      </c>
      <c r="O207" s="98"/>
      <c r="P207" s="98"/>
      <c r="Q207" s="99"/>
      <c r="R207" s="39"/>
      <c r="S207" s="39"/>
      <c r="T207" s="39"/>
      <c r="U207" s="106" t="str">
        <f>IF([6]回答表!X45="○",[6]回答表!B314,IF([6]回答表!AA45="○",[6]回答表!B337,""))</f>
        <v/>
      </c>
      <c r="V207" s="107"/>
      <c r="W207" s="107"/>
      <c r="X207" s="107"/>
      <c r="Y207" s="107"/>
      <c r="Z207" s="107"/>
      <c r="AA207" s="107"/>
      <c r="AB207" s="107"/>
      <c r="AC207" s="107"/>
      <c r="AD207" s="107"/>
      <c r="AE207" s="107"/>
      <c r="AF207" s="107"/>
      <c r="AG207" s="107"/>
      <c r="AH207" s="107"/>
      <c r="AI207" s="107"/>
      <c r="AJ207" s="108"/>
      <c r="AK207" s="50"/>
      <c r="AL207" s="50"/>
      <c r="AM207" s="50"/>
      <c r="AN207" s="106" t="str">
        <f>IF([6]回答表!X45="○",[6]回答表!B320,"")</f>
        <v/>
      </c>
      <c r="AO207" s="173"/>
      <c r="AP207" s="173"/>
      <c r="AQ207" s="173"/>
      <c r="AR207" s="173"/>
      <c r="AS207" s="173"/>
      <c r="AT207" s="173"/>
      <c r="AU207" s="173"/>
      <c r="AV207" s="173"/>
      <c r="AW207" s="173"/>
      <c r="AX207" s="173"/>
      <c r="AY207" s="173"/>
      <c r="AZ207" s="173"/>
      <c r="BA207" s="173"/>
      <c r="BB207" s="174"/>
      <c r="BC207" s="40"/>
      <c r="BD207" s="35"/>
      <c r="BE207" s="115" t="str">
        <f>IF([6]回答表!X45="○",[6]回答表!B326,IF([6]回答表!AA45="○",[6]回答表!B343,""))</f>
        <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75"/>
      <c r="AO208" s="176"/>
      <c r="AP208" s="176"/>
      <c r="AQ208" s="176"/>
      <c r="AR208" s="176"/>
      <c r="AS208" s="176"/>
      <c r="AT208" s="176"/>
      <c r="AU208" s="176"/>
      <c r="AV208" s="176"/>
      <c r="AW208" s="176"/>
      <c r="AX208" s="176"/>
      <c r="AY208" s="176"/>
      <c r="AZ208" s="176"/>
      <c r="BA208" s="176"/>
      <c r="BB208" s="177"/>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75"/>
      <c r="AO209" s="176"/>
      <c r="AP209" s="176"/>
      <c r="AQ209" s="176"/>
      <c r="AR209" s="176"/>
      <c r="AS209" s="176"/>
      <c r="AT209" s="176"/>
      <c r="AU209" s="176"/>
      <c r="AV209" s="176"/>
      <c r="AW209" s="176"/>
      <c r="AX209" s="176"/>
      <c r="AY209" s="176"/>
      <c r="AZ209" s="176"/>
      <c r="BA209" s="176"/>
      <c r="BB209" s="177"/>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75"/>
      <c r="AO210" s="176"/>
      <c r="AP210" s="176"/>
      <c r="AQ210" s="176"/>
      <c r="AR210" s="176"/>
      <c r="AS210" s="176"/>
      <c r="AT210" s="176"/>
      <c r="AU210" s="176"/>
      <c r="AV210" s="176"/>
      <c r="AW210" s="176"/>
      <c r="AX210" s="176"/>
      <c r="AY210" s="176"/>
      <c r="AZ210" s="176"/>
      <c r="BA210" s="176"/>
      <c r="BB210" s="177"/>
      <c r="BC210" s="40"/>
      <c r="BD210" s="35"/>
      <c r="BE210" s="82" t="str">
        <f>IF([6]回答表!X45="○",[6]回答表!E326,IF([6]回答表!AA45="○",[6]回答表!E343,""))</f>
        <v/>
      </c>
      <c r="BF210" s="83"/>
      <c r="BG210" s="83"/>
      <c r="BH210" s="83"/>
      <c r="BI210" s="82" t="str">
        <f>IF([6]回答表!X45="○",[6]回答表!E327,IF([6]回答表!AA45="○",[6]回答表!E344,""))</f>
        <v/>
      </c>
      <c r="BJ210" s="83"/>
      <c r="BK210" s="83"/>
      <c r="BL210" s="86"/>
      <c r="BM210" s="82" t="str">
        <f>IF([6]回答表!X45="○",[6]回答表!E328,IF([6]回答表!AA45="○",[6]回答表!E345,""))</f>
        <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75"/>
      <c r="AO211" s="176"/>
      <c r="AP211" s="176"/>
      <c r="AQ211" s="176"/>
      <c r="AR211" s="176"/>
      <c r="AS211" s="176"/>
      <c r="AT211" s="176"/>
      <c r="AU211" s="176"/>
      <c r="AV211" s="176"/>
      <c r="AW211" s="176"/>
      <c r="AX211" s="176"/>
      <c r="AY211" s="176"/>
      <c r="AZ211" s="176"/>
      <c r="BA211" s="176"/>
      <c r="BB211" s="177"/>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75"/>
      <c r="AO212" s="176"/>
      <c r="AP212" s="176"/>
      <c r="AQ212" s="176"/>
      <c r="AR212" s="176"/>
      <c r="AS212" s="176"/>
      <c r="AT212" s="176"/>
      <c r="AU212" s="176"/>
      <c r="AV212" s="176"/>
      <c r="AW212" s="176"/>
      <c r="AX212" s="176"/>
      <c r="AY212" s="176"/>
      <c r="AZ212" s="176"/>
      <c r="BA212" s="176"/>
      <c r="BB212" s="177"/>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IF([6]回答表!AA45="○","○","")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75"/>
      <c r="AO213" s="176"/>
      <c r="AP213" s="176"/>
      <c r="AQ213" s="176"/>
      <c r="AR213" s="176"/>
      <c r="AS213" s="176"/>
      <c r="AT213" s="176"/>
      <c r="AU213" s="176"/>
      <c r="AV213" s="176"/>
      <c r="AW213" s="176"/>
      <c r="AX213" s="176"/>
      <c r="AY213" s="176"/>
      <c r="AZ213" s="176"/>
      <c r="BA213" s="176"/>
      <c r="BB213" s="177"/>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75"/>
      <c r="AO214" s="176"/>
      <c r="AP214" s="176"/>
      <c r="AQ214" s="176"/>
      <c r="AR214" s="176"/>
      <c r="AS214" s="176"/>
      <c r="AT214" s="176"/>
      <c r="AU214" s="176"/>
      <c r="AV214" s="176"/>
      <c r="AW214" s="176"/>
      <c r="AX214" s="176"/>
      <c r="AY214" s="176"/>
      <c r="AZ214" s="176"/>
      <c r="BA214" s="176"/>
      <c r="BB214" s="177"/>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75"/>
      <c r="AO215" s="176"/>
      <c r="AP215" s="176"/>
      <c r="AQ215" s="176"/>
      <c r="AR215" s="176"/>
      <c r="AS215" s="176"/>
      <c r="AT215" s="176"/>
      <c r="AU215" s="176"/>
      <c r="AV215" s="176"/>
      <c r="AW215" s="176"/>
      <c r="AX215" s="176"/>
      <c r="AY215" s="176"/>
      <c r="AZ215" s="176"/>
      <c r="BA215" s="176"/>
      <c r="BB215" s="177"/>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78"/>
      <c r="AO216" s="179"/>
      <c r="AP216" s="179"/>
      <c r="AQ216" s="179"/>
      <c r="AR216" s="179"/>
      <c r="AS216" s="179"/>
      <c r="AT216" s="179"/>
      <c r="AU216" s="179"/>
      <c r="AV216" s="179"/>
      <c r="AW216" s="179"/>
      <c r="AX216" s="179"/>
      <c r="AY216" s="179"/>
      <c r="AZ216" s="179"/>
      <c r="BA216" s="179"/>
      <c r="BB216" s="180"/>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IF([6]回答表!AD45="○","○","")</f>
        <v/>
      </c>
      <c r="O219" s="98"/>
      <c r="P219" s="98"/>
      <c r="Q219" s="99"/>
      <c r="R219" s="39"/>
      <c r="S219" s="39"/>
      <c r="T219" s="39"/>
      <c r="U219" s="106" t="str">
        <f>IF([6]回答表!AD45="○",[6]回答表!B350,"")</f>
        <v/>
      </c>
      <c r="V219" s="107"/>
      <c r="W219" s="107"/>
      <c r="X219" s="107"/>
      <c r="Y219" s="107"/>
      <c r="Z219" s="107"/>
      <c r="AA219" s="107"/>
      <c r="AB219" s="107"/>
      <c r="AC219" s="107"/>
      <c r="AD219" s="107"/>
      <c r="AE219" s="107"/>
      <c r="AF219" s="107"/>
      <c r="AG219" s="107"/>
      <c r="AH219" s="107"/>
      <c r="AI219" s="107"/>
      <c r="AJ219" s="108"/>
      <c r="AK219" s="61"/>
      <c r="AL219" s="61"/>
      <c r="AM219" s="106" t="str">
        <f>IF([6]回答表!AD45="○",[6]回答表!B356,"")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62"/>
      <c r="AS225" s="162"/>
      <c r="AT225" s="162"/>
      <c r="AU225" s="162"/>
      <c r="AV225" s="162"/>
      <c r="AW225" s="162"/>
      <c r="AX225" s="162"/>
      <c r="AY225" s="162"/>
      <c r="AZ225" s="162"/>
      <c r="BA225" s="162"/>
      <c r="BB225" s="162"/>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63"/>
      <c r="AS226" s="163"/>
      <c r="AT226" s="163"/>
      <c r="AU226" s="163"/>
      <c r="AV226" s="163"/>
      <c r="AW226" s="163"/>
      <c r="AX226" s="163"/>
      <c r="AY226" s="163"/>
      <c r="AZ226" s="163"/>
      <c r="BA226" s="163"/>
      <c r="BB226" s="163"/>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IF([6]回答表!X46="○","○","")</f>
        <v/>
      </c>
      <c r="O231" s="98"/>
      <c r="P231" s="98"/>
      <c r="Q231" s="99"/>
      <c r="R231" s="39"/>
      <c r="S231" s="39"/>
      <c r="T231" s="39"/>
      <c r="U231" s="106" t="str">
        <f>IF([6]回答表!X46="○",[6]回答表!B368,IF([6]回答表!AA46="○",[6]回答表!B382,""))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IF([6]回答表!X46="○",[6]回答表!BC375,IF([6]回答表!AA46="○",[6]回答表!BC389,""))</f>
        <v/>
      </c>
      <c r="AR231" s="150"/>
      <c r="AS231" s="150"/>
      <c r="AT231" s="150"/>
      <c r="AU231" s="164" t="s">
        <v>63</v>
      </c>
      <c r="AV231" s="165"/>
      <c r="AW231" s="165"/>
      <c r="AX231" s="166"/>
      <c r="AY231" s="150" t="str">
        <f>IF([6]回答表!X46="○",[6]回答表!BC380,IF([6]回答表!AA46="○",[6]回答表!BC394,""))</f>
        <v/>
      </c>
      <c r="AZ231" s="150"/>
      <c r="BA231" s="150"/>
      <c r="BB231" s="150"/>
      <c r="BC231" s="40"/>
      <c r="BD231" s="35"/>
      <c r="BE231" s="115" t="str">
        <f>IF([6]回答表!X46="○",[6]回答表!S374,IF([6]回答表!AA46="○",[6]回答表!S388,""))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67"/>
      <c r="AV232" s="168"/>
      <c r="AW232" s="168"/>
      <c r="AX232" s="169"/>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IF([6]回答表!X46="○",[6]回答表!BC376,IF([6]回答表!AA46="○",[6]回答表!BC390,""))</f>
        <v/>
      </c>
      <c r="AR233" s="150"/>
      <c r="AS233" s="150"/>
      <c r="AT233" s="150"/>
      <c r="AU233" s="167"/>
      <c r="AV233" s="168"/>
      <c r="AW233" s="168"/>
      <c r="AX233" s="169"/>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67"/>
      <c r="AV234" s="168"/>
      <c r="AW234" s="168"/>
      <c r="AX234" s="169"/>
      <c r="AY234" s="150"/>
      <c r="AZ234" s="150"/>
      <c r="BA234" s="150"/>
      <c r="BB234" s="150"/>
      <c r="BC234" s="40"/>
      <c r="BD234" s="35"/>
      <c r="BE234" s="82" t="str">
        <f>IF([6]回答表!X46="○",[6]回答表!V374,IF([6]回答表!AA46="○",[6]回答表!V388,""))</f>
        <v/>
      </c>
      <c r="BF234" s="83"/>
      <c r="BG234" s="83"/>
      <c r="BH234" s="83"/>
      <c r="BI234" s="82" t="str">
        <f>IF([6]回答表!X46="○",[6]回答表!V375,IF([6]回答表!AA46="○",[6]回答表!V389,""))</f>
        <v/>
      </c>
      <c r="BJ234" s="83"/>
      <c r="BK234" s="83"/>
      <c r="BL234" s="86"/>
      <c r="BM234" s="82" t="str">
        <f>IF([6]回答表!X46="○",[6]回答表!V376,IF([6]回答表!AA46="○",[6]回答表!V390,""))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IF([6]回答表!X46="○",[6]回答表!BC377,IF([6]回答表!AA46="○",[6]回答表!BC391,""))</f>
        <v/>
      </c>
      <c r="AR235" s="150"/>
      <c r="AS235" s="150"/>
      <c r="AT235" s="150"/>
      <c r="AU235" s="170"/>
      <c r="AV235" s="171"/>
      <c r="AW235" s="171"/>
      <c r="AX235" s="172"/>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60" t="str">
        <f>IF([6]回答表!X46="○",[6]回答表!BC381,IF([6]回答表!AA46="○",[6]回答表!BC395,""))</f>
        <v/>
      </c>
      <c r="AZ236" s="160"/>
      <c r="BA236" s="160"/>
      <c r="BB236" s="160"/>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IF([6]回答表!AA46="○","○","")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61" t="str">
        <f>IF([6]回答表!X46="○",[6]回答表!BC378,IF([6]回答表!AA46="○",[6]回答表!BC392,""))</f>
        <v/>
      </c>
      <c r="AR237" s="150"/>
      <c r="AS237" s="150"/>
      <c r="AT237" s="150"/>
      <c r="AU237" s="149"/>
      <c r="AV237" s="149"/>
      <c r="AW237" s="149"/>
      <c r="AX237" s="149"/>
      <c r="AY237" s="160"/>
      <c r="AZ237" s="160"/>
      <c r="BA237" s="160"/>
      <c r="BB237" s="160"/>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60"/>
      <c r="AZ238" s="160"/>
      <c r="BA238" s="160"/>
      <c r="BB238" s="160"/>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IF([6]回答表!X46="○",[6]回答表!BC379,IF([6]回答表!AA46="○",[6]回答表!BC393,""))</f>
        <v/>
      </c>
      <c r="AR239" s="150"/>
      <c r="AS239" s="150"/>
      <c r="AT239" s="150"/>
      <c r="AU239" s="149"/>
      <c r="AV239" s="149"/>
      <c r="AW239" s="149"/>
      <c r="AX239" s="149"/>
      <c r="AY239" s="160"/>
      <c r="AZ239" s="160"/>
      <c r="BA239" s="160"/>
      <c r="BB239" s="160"/>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60"/>
      <c r="AZ240" s="160"/>
      <c r="BA240" s="160"/>
      <c r="BB240" s="160"/>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IF([6]回答表!AD46="○","○","")</f>
        <v/>
      </c>
      <c r="O243" s="98"/>
      <c r="P243" s="98"/>
      <c r="Q243" s="99"/>
      <c r="R243" s="39"/>
      <c r="S243" s="39"/>
      <c r="T243" s="39"/>
      <c r="U243" s="106" t="str">
        <f>IF([6]回答表!AD46="○",[6]回答表!B396,"")</f>
        <v/>
      </c>
      <c r="V243" s="107"/>
      <c r="W243" s="107"/>
      <c r="X243" s="107"/>
      <c r="Y243" s="107"/>
      <c r="Z243" s="107"/>
      <c r="AA243" s="107"/>
      <c r="AB243" s="107"/>
      <c r="AC243" s="107"/>
      <c r="AD243" s="107"/>
      <c r="AE243" s="107"/>
      <c r="AF243" s="107"/>
      <c r="AG243" s="107"/>
      <c r="AH243" s="107"/>
      <c r="AI243" s="107"/>
      <c r="AJ243" s="108"/>
      <c r="AK243" s="56"/>
      <c r="AL243" s="56"/>
      <c r="AM243" s="106" t="str">
        <f>IF([6]回答表!AD46="○",[6]回答表!B402,"")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IF([6]回答表!X47="○","○","")</f>
        <v/>
      </c>
      <c r="O254" s="98"/>
      <c r="P254" s="98"/>
      <c r="Q254" s="99"/>
      <c r="R254" s="39"/>
      <c r="S254" s="39"/>
      <c r="T254" s="39"/>
      <c r="U254" s="106" t="str">
        <f>IF([6]回答表!X47="○",[6]回答表!B414,IF([6]回答表!AA47="○",[6]回答表!B431,""))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IF([6]回答表!X47="○",[6]回答表!B424,IF([6]回答表!AA47="○",[6]回答表!B441,""))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IF([6]回答表!X47="○",[6]回答表!G420,IF([6]回答表!AA47="○",[6]回答表!G437,""))</f>
        <v/>
      </c>
      <c r="AN256" s="119"/>
      <c r="AO256" s="119"/>
      <c r="AP256" s="119"/>
      <c r="AQ256" s="119"/>
      <c r="AR256" s="119"/>
      <c r="AS256" s="119"/>
      <c r="AT256" s="120"/>
      <c r="AU256" s="118" t="str">
        <f>IF([6]回答表!X47="○",[6]回答表!G421,IF([6]回答表!AA47="○",[6]回答表!G438,""))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IF([6]回答表!X47="○",[6]回答表!E424,IF([6]回答表!AA47="○",[6]回答表!E441,""))</f>
        <v/>
      </c>
      <c r="BF257" s="83"/>
      <c r="BG257" s="83"/>
      <c r="BH257" s="83"/>
      <c r="BI257" s="82" t="str">
        <f>IF([6]回答表!X47="○",[6]回答表!E425,IF([6]回答表!AA47="○",[6]回答表!E442,""))</f>
        <v/>
      </c>
      <c r="BJ257" s="83"/>
      <c r="BK257" s="83"/>
      <c r="BL257" s="86"/>
      <c r="BM257" s="82" t="str">
        <f>IF([6]回答表!X47="○",[6]回答表!E426,IF([6]回答表!AA47="○",[6]回答表!E443,""))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IF([6]回答表!AA47="○","○","")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IF([6]回答表!AD47="○","○","")</f>
        <v/>
      </c>
      <c r="O266" s="98"/>
      <c r="P266" s="98"/>
      <c r="Q266" s="99"/>
      <c r="R266" s="39"/>
      <c r="S266" s="39"/>
      <c r="T266" s="39"/>
      <c r="U266" s="106" t="str">
        <f>IF([6]回答表!AD47="○",[6]回答表!B448,"")</f>
        <v/>
      </c>
      <c r="V266" s="107"/>
      <c r="W266" s="107"/>
      <c r="X266" s="107"/>
      <c r="Y266" s="107"/>
      <c r="Z266" s="107"/>
      <c r="AA266" s="107"/>
      <c r="AB266" s="107"/>
      <c r="AC266" s="107"/>
      <c r="AD266" s="107"/>
      <c r="AE266" s="107"/>
      <c r="AF266" s="107"/>
      <c r="AG266" s="107"/>
      <c r="AH266" s="107"/>
      <c r="AI266" s="107"/>
      <c r="AJ266" s="108"/>
      <c r="AK266" s="50"/>
      <c r="AL266" s="50"/>
      <c r="AM266" s="106" t="str">
        <f>IF([6]回答表!AD47="○",[6]回答表!B454,"")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IF([6]回答表!R48="○",[6]回答表!B467,"")</f>
        <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2"/>
  <conditionalFormatting sqref="A29:XFD30 A28:BI28 BR28:XFD28">
    <cfRule type="expression" dxfId="4"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13</vt:i4>
      </vt:variant>
    </vt:vector>
  </HeadingPairs>
  <TitlesOfParts>
    <vt:vector size="26" baseType="lpstr">
      <vt:lpstr>水道</vt:lpstr>
      <vt:lpstr>工業用水道</vt:lpstr>
      <vt:lpstr>病院</vt:lpstr>
      <vt:lpstr>下水道（公共下水道）</vt:lpstr>
      <vt:lpstr>下水道（特定環境保全公共下水道）</vt:lpstr>
      <vt:lpstr>下水道（農業集落排水施設）</vt:lpstr>
      <vt:lpstr>下水道（特定地域排水処理施設）</vt:lpstr>
      <vt:lpstr>市場</vt:lpstr>
      <vt:lpstr>介護サービス（指定介護老人福祉施設）</vt:lpstr>
      <vt:lpstr>介護サービス（老人短期入所施設）</vt:lpstr>
      <vt:lpstr>介護サービス（老人デイサービス）</vt:lpstr>
      <vt:lpstr>簡易水道</vt:lpstr>
      <vt:lpstr>駐車場</vt:lpstr>
      <vt:lpstr>'下水道（公共下水道）'!Print_Area</vt:lpstr>
      <vt:lpstr>'下水道（特定環境保全公共下水道）'!Print_Area</vt:lpstr>
      <vt:lpstr>'下水道（特定地域排水処理施設）'!Print_Area</vt:lpstr>
      <vt:lpstr>'下水道（農業集落排水施設）'!Print_Area</vt:lpstr>
      <vt:lpstr>'介護サービス（指定介護老人福祉施設）'!Print_Area</vt:lpstr>
      <vt:lpstr>'介護サービス（老人デイサービス）'!Print_Area</vt:lpstr>
      <vt:lpstr>'介護サービス（老人短期入所施設）'!Print_Area</vt:lpstr>
      <vt:lpstr>簡易水道!Print_Area</vt:lpstr>
      <vt:lpstr>工業用水道!Print_Area</vt:lpstr>
      <vt:lpstr>市場!Print_Area</vt:lpstr>
      <vt:lpstr>水道!Print_Area</vt:lpstr>
      <vt:lpstr>駐車場!Print_Area</vt:lpstr>
      <vt:lpstr>病院!Print_Area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横井　綾夏</dc:creator>
  <cp:lastModifiedBy>横井　綾夏</cp:lastModifiedBy>
  <cp:lastPrinted>2020-11-16T02:39:52Z</cp:lastPrinted>
  <dcterms:created xsi:type="dcterms:W3CDTF">2015-06-05T18:17:20Z</dcterms:created>
  <dcterms:modified xsi:type="dcterms:W3CDTF">2020-11-17T06:35:32Z</dcterms:modified>
</cp:coreProperties>
</file>