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5D4658C7-E3FE-42C9-B91F-BD8CE45F7195}" xr6:coauthVersionLast="45" xr6:coauthVersionMax="45" xr10:uidLastSave="{00000000-0000-0000-0000-000000000000}"/>
  <bookViews>
    <workbookView xWindow="-120" yWindow="-120" windowWidth="29040" windowHeight="15840" xr2:uid="{00000000-000D-0000-FFFF-FFFF00000000}"/>
  </bookViews>
  <sheets>
    <sheet name="水道" sheetId="2" r:id="rId1"/>
    <sheet name="簡易水道" sheetId="9" r:id="rId2"/>
    <sheet name="病院" sheetId="10" r:id="rId3"/>
    <sheet name="下水道（公共下水道）" sheetId="3" r:id="rId4"/>
    <sheet name="下水道（農業集落排水施設）" sheetId="6" r:id="rId5"/>
    <sheet name="下水道（林業集落排水施設）" sheetId="7" r:id="rId6"/>
    <sheet name="下水道（小規模集合排水施設）" sheetId="4" r:id="rId7"/>
    <sheet name="下水道（特定地域排水処理施設）" sheetId="5" r:id="rId8"/>
    <sheet name="観光" sheetId="11" r:id="rId9"/>
    <sheet name="介護サービス（指定介護老人福祉施設）" sheetId="14" r:id="rId10"/>
    <sheet name="介護サービス（介護老人保健施設）" sheetId="13" r:id="rId11"/>
    <sheet name="介護サービス（老人短期入所施設）" sheetId="15" r:id="rId12"/>
    <sheet name="介護サービス（老人デイサービスセンター）"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3">'下水道（公共下水道）'!$A$1:$BR$298</definedName>
    <definedName name="_xlnm.Print_Area" localSheetId="6">'下水道（小規模集合排水施設）'!$A$1:$BR$298</definedName>
    <definedName name="_xlnm.Print_Area" localSheetId="7">'下水道（特定地域排水処理施設）'!$A$1:$BR$298</definedName>
    <definedName name="_xlnm.Print_Area" localSheetId="4">'下水道（農業集落排水施設）'!$A$1:$BR$298</definedName>
    <definedName name="_xlnm.Print_Area" localSheetId="5">'下水道（林業集落排水施設）'!$A$1:$BR$298</definedName>
    <definedName name="_xlnm.Print_Area" localSheetId="10">'介護サービス（介護老人保健施設）'!$A$1:$BR$298</definedName>
    <definedName name="_xlnm.Print_Area" localSheetId="9">'介護サービス（指定介護老人福祉施設）'!$A$1:$BR$298</definedName>
    <definedName name="_xlnm.Print_Area" localSheetId="12">'介護サービス（老人デイサービスセンター）'!$A$1:$BR$298</definedName>
    <definedName name="_xlnm.Print_Area" localSheetId="11">'介護サービス（老人短期入所施設）'!$A$1:$BR$298</definedName>
    <definedName name="_xlnm.Print_Area" localSheetId="1">簡易水道!$A$1:$BR$298</definedName>
    <definedName name="_xlnm.Print_Area" localSheetId="8">観光!$A$1:$BR$298</definedName>
    <definedName name="_xlnm.Print_Area" localSheetId="0">水道!$A$1:$BR$298</definedName>
    <definedName name="_xlnm.Print_Area" localSheetId="2">病院!$A$1:$BR$298</definedName>
    <definedName name="業種名" localSheetId="3">[1]選択肢!$K$2:$K$19</definedName>
    <definedName name="業種名" localSheetId="6">[2]選択肢!$K$2:$K$19</definedName>
    <definedName name="業種名" localSheetId="7">[3]選択肢!$K$2:$K$19</definedName>
    <definedName name="業種名" localSheetId="4">[4]選択肢!$K$2:$K$19</definedName>
    <definedName name="業種名" localSheetId="5">[5]選択肢!$K$2:$K$19</definedName>
    <definedName name="業種名" localSheetId="10">[9]選択肢!$K$2:$K$19</definedName>
    <definedName name="業種名" localSheetId="9">[7]選択肢!$K$2:$K$19</definedName>
    <definedName name="業種名" localSheetId="12">[6]選択肢!$K$2:$K$19</definedName>
    <definedName name="業種名" localSheetId="11">[8]選択肢!$K$2:$K$19</definedName>
    <definedName name="業種名" localSheetId="1">[10]選択肢!$K$2:$K$19</definedName>
    <definedName name="業種名" localSheetId="8">[11]選択肢!$K$2:$K$19</definedName>
    <definedName name="業種名" localSheetId="2">[12]選択肢!$K$2:$K$19</definedName>
    <definedName name="業種名">[13]選択肢!$K$2:$K$19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15" l="1"/>
  <c r="AM266" i="15"/>
  <c r="U266" i="15"/>
  <c r="N266" i="15"/>
  <c r="N260" i="15"/>
  <c r="BM257" i="15"/>
  <c r="BI257" i="15"/>
  <c r="BE257" i="15"/>
  <c r="AU256" i="15"/>
  <c r="AM256" i="15"/>
  <c r="BE254" i="15"/>
  <c r="U254" i="15"/>
  <c r="N254" i="15"/>
  <c r="AM243" i="15"/>
  <c r="U243" i="15"/>
  <c r="N243" i="15"/>
  <c r="AQ239" i="15"/>
  <c r="AQ237" i="15"/>
  <c r="N237" i="15"/>
  <c r="AY236" i="15"/>
  <c r="AQ235" i="15"/>
  <c r="BM234" i="15"/>
  <c r="BI234" i="15"/>
  <c r="BE234" i="15"/>
  <c r="AQ233" i="15"/>
  <c r="BE231" i="15"/>
  <c r="AY231" i="15"/>
  <c r="AQ231" i="15"/>
  <c r="U231" i="15"/>
  <c r="N231" i="15"/>
  <c r="AM219" i="15"/>
  <c r="U219" i="15"/>
  <c r="N219" i="15"/>
  <c r="N213" i="15"/>
  <c r="BM210" i="15"/>
  <c r="BI210" i="15"/>
  <c r="BE210" i="15"/>
  <c r="BE207" i="15"/>
  <c r="AN207" i="15"/>
  <c r="U207" i="15"/>
  <c r="N207" i="15"/>
  <c r="AM195" i="15"/>
  <c r="U195" i="15"/>
  <c r="N195" i="15"/>
  <c r="N189" i="15"/>
  <c r="BM186" i="15"/>
  <c r="BI186" i="15"/>
  <c r="BE186" i="15"/>
  <c r="AU186" i="15"/>
  <c r="AM186" i="15"/>
  <c r="BE183" i="15"/>
  <c r="U183" i="15"/>
  <c r="N183" i="15"/>
  <c r="AM171" i="15"/>
  <c r="U171" i="15"/>
  <c r="N171" i="15"/>
  <c r="N165" i="15"/>
  <c r="AU162" i="15"/>
  <c r="AQ162" i="15"/>
  <c r="AM162" i="15"/>
  <c r="AM159" i="15"/>
  <c r="U159" i="15"/>
  <c r="N159" i="15"/>
  <c r="AM147" i="15"/>
  <c r="U147" i="15"/>
  <c r="N147" i="15"/>
  <c r="AC142" i="15"/>
  <c r="U142" i="15"/>
  <c r="N141" i="15"/>
  <c r="BM138" i="15"/>
  <c r="BI138" i="15"/>
  <c r="BE138" i="15"/>
  <c r="AC137" i="15"/>
  <c r="U137" i="15"/>
  <c r="BE135" i="15"/>
  <c r="AM135" i="15"/>
  <c r="N135" i="15"/>
  <c r="AM123" i="15"/>
  <c r="U123" i="15"/>
  <c r="N123" i="15"/>
  <c r="U118" i="15"/>
  <c r="N117" i="15"/>
  <c r="BM114" i="15"/>
  <c r="BI114" i="15"/>
  <c r="BE114" i="15"/>
  <c r="U113" i="15"/>
  <c r="BE111" i="15"/>
  <c r="AM111" i="15"/>
  <c r="N111" i="15"/>
  <c r="AM99" i="15"/>
  <c r="U99" i="15"/>
  <c r="N99" i="15"/>
  <c r="AC94" i="15"/>
  <c r="U94" i="15"/>
  <c r="N93" i="15"/>
  <c r="BM90" i="15"/>
  <c r="BI90" i="15"/>
  <c r="BE90" i="15"/>
  <c r="AC89" i="15"/>
  <c r="U89" i="15"/>
  <c r="BE87" i="15"/>
  <c r="AM87" i="15"/>
  <c r="N87" i="15"/>
  <c r="AM75" i="15"/>
  <c r="U75" i="15"/>
  <c r="N75" i="15"/>
  <c r="N69" i="15"/>
  <c r="BM66" i="15"/>
  <c r="BI66" i="15"/>
  <c r="BE66" i="15"/>
  <c r="AU66" i="15"/>
  <c r="AM66" i="15"/>
  <c r="BE63" i="15"/>
  <c r="U63" i="15"/>
  <c r="N63" i="15"/>
  <c r="AM52" i="15"/>
  <c r="U52" i="15"/>
  <c r="N52" i="15"/>
  <c r="AM48" i="15"/>
  <c r="AM47" i="15"/>
  <c r="AM46" i="15"/>
  <c r="AM45" i="15"/>
  <c r="AM44" i="15"/>
  <c r="N44" i="15"/>
  <c r="AM43" i="15"/>
  <c r="AM42" i="15"/>
  <c r="BM39" i="15"/>
  <c r="BI39" i="15"/>
  <c r="BE39" i="15"/>
  <c r="AU38" i="15"/>
  <c r="AM38" i="15"/>
  <c r="BE36" i="15"/>
  <c r="U36" i="15"/>
  <c r="N36" i="15"/>
  <c r="BB24" i="15"/>
  <c r="AT24" i="15"/>
  <c r="AM24" i="15"/>
  <c r="AF24" i="15"/>
  <c r="Y24" i="15"/>
  <c r="R24" i="15"/>
  <c r="K24" i="15"/>
  <c r="D24" i="15"/>
  <c r="BF11" i="15"/>
  <c r="AO11" i="15"/>
  <c r="U11" i="15"/>
  <c r="C11" i="15"/>
  <c r="D279" i="14" l="1"/>
  <c r="AM266" i="14"/>
  <c r="U266" i="14"/>
  <c r="N266" i="14"/>
  <c r="N260" i="14"/>
  <c r="BM257" i="14"/>
  <c r="BI257" i="14"/>
  <c r="BE257" i="14"/>
  <c r="AU256" i="14"/>
  <c r="AM256" i="14"/>
  <c r="BE254" i="14"/>
  <c r="U254" i="14"/>
  <c r="N254" i="14"/>
  <c r="AM243" i="14"/>
  <c r="U243" i="14"/>
  <c r="N243" i="14"/>
  <c r="AQ239" i="14"/>
  <c r="AQ237" i="14"/>
  <c r="N237" i="14"/>
  <c r="AY236" i="14"/>
  <c r="AQ235" i="14"/>
  <c r="BM234" i="14"/>
  <c r="BI234" i="14"/>
  <c r="BE234" i="14"/>
  <c r="AQ233" i="14"/>
  <c r="BE231" i="14"/>
  <c r="AY231" i="14"/>
  <c r="AQ231" i="14"/>
  <c r="U231" i="14"/>
  <c r="N231" i="14"/>
  <c r="AM219" i="14"/>
  <c r="U219" i="14"/>
  <c r="N219" i="14"/>
  <c r="N213" i="14"/>
  <c r="BM210" i="14"/>
  <c r="BI210" i="14"/>
  <c r="BE210" i="14"/>
  <c r="BE207" i="14"/>
  <c r="AN207" i="14"/>
  <c r="U207" i="14"/>
  <c r="N207" i="14"/>
  <c r="AM195" i="14"/>
  <c r="U195" i="14"/>
  <c r="N195" i="14"/>
  <c r="N189" i="14"/>
  <c r="BM186" i="14"/>
  <c r="BI186" i="14"/>
  <c r="BE186" i="14"/>
  <c r="AU186" i="14"/>
  <c r="AM186" i="14"/>
  <c r="BE183" i="14"/>
  <c r="U183" i="14"/>
  <c r="N183" i="14"/>
  <c r="AM171" i="14"/>
  <c r="U171" i="14"/>
  <c r="N171" i="14"/>
  <c r="N165" i="14"/>
  <c r="AU162" i="14"/>
  <c r="AQ162" i="14"/>
  <c r="AM162" i="14"/>
  <c r="AM159" i="14"/>
  <c r="U159" i="14"/>
  <c r="N159" i="14"/>
  <c r="AM147" i="14"/>
  <c r="U147" i="14"/>
  <c r="N147" i="14"/>
  <c r="AC142" i="14"/>
  <c r="U142" i="14"/>
  <c r="N141" i="14"/>
  <c r="BM138" i="14"/>
  <c r="BI138" i="14"/>
  <c r="BE138" i="14"/>
  <c r="AC137" i="14"/>
  <c r="U137" i="14"/>
  <c r="BE135" i="14"/>
  <c r="AM135" i="14"/>
  <c r="N135" i="14"/>
  <c r="AM123" i="14"/>
  <c r="U123" i="14"/>
  <c r="N123" i="14"/>
  <c r="U118" i="14"/>
  <c r="N117" i="14"/>
  <c r="BM114" i="14"/>
  <c r="BI114" i="14"/>
  <c r="BE114" i="14"/>
  <c r="U113" i="14"/>
  <c r="BE111" i="14"/>
  <c r="AM111" i="14"/>
  <c r="N111" i="14"/>
  <c r="AM99" i="14"/>
  <c r="U99" i="14"/>
  <c r="N99" i="14"/>
  <c r="AC94" i="14"/>
  <c r="U94" i="14"/>
  <c r="N93" i="14"/>
  <c r="BM90" i="14"/>
  <c r="BI90" i="14"/>
  <c r="BE90" i="14"/>
  <c r="AC89" i="14"/>
  <c r="U89" i="14"/>
  <c r="BE87" i="14"/>
  <c r="AM87" i="14"/>
  <c r="N87" i="14"/>
  <c r="AM75" i="14"/>
  <c r="U75" i="14"/>
  <c r="N75" i="14"/>
  <c r="N69" i="14"/>
  <c r="BM66" i="14"/>
  <c r="BI66" i="14"/>
  <c r="BE66" i="14"/>
  <c r="AU66" i="14"/>
  <c r="AM66" i="14"/>
  <c r="BE63" i="14"/>
  <c r="U63" i="14"/>
  <c r="N63" i="14"/>
  <c r="AM52" i="14"/>
  <c r="U52" i="14"/>
  <c r="N52" i="14"/>
  <c r="AM48" i="14"/>
  <c r="AM47" i="14"/>
  <c r="AM46" i="14"/>
  <c r="AM45" i="14"/>
  <c r="AM44" i="14"/>
  <c r="N44" i="14"/>
  <c r="AM43" i="14"/>
  <c r="AM42" i="14"/>
  <c r="BM39" i="14"/>
  <c r="BI39" i="14"/>
  <c r="BE39" i="14"/>
  <c r="AU38" i="14"/>
  <c r="AM38" i="14"/>
  <c r="BE36" i="14"/>
  <c r="U36" i="14"/>
  <c r="N36" i="14"/>
  <c r="BB24" i="14"/>
  <c r="AT24" i="14"/>
  <c r="AM24" i="14"/>
  <c r="AF24" i="14"/>
  <c r="Y24" i="14"/>
  <c r="R24" i="14"/>
  <c r="K24" i="14"/>
  <c r="D24" i="14"/>
  <c r="BF11" i="14"/>
  <c r="AO11" i="14"/>
  <c r="U11" i="14"/>
  <c r="C11" i="14"/>
  <c r="D279" i="13" l="1"/>
  <c r="AM266" i="13"/>
  <c r="U266" i="13"/>
  <c r="N266" i="13"/>
  <c r="N260" i="13"/>
  <c r="BM257" i="13"/>
  <c r="BI257" i="13"/>
  <c r="BE257" i="13"/>
  <c r="AU256" i="13"/>
  <c r="AM256" i="13"/>
  <c r="BE254" i="13"/>
  <c r="U254" i="13"/>
  <c r="N254" i="13"/>
  <c r="AM243" i="13"/>
  <c r="U243" i="13"/>
  <c r="N243" i="13"/>
  <c r="AQ239" i="13"/>
  <c r="AQ237" i="13"/>
  <c r="N237" i="13"/>
  <c r="AY236" i="13"/>
  <c r="AQ235" i="13"/>
  <c r="BM234" i="13"/>
  <c r="BI234" i="13"/>
  <c r="BE234" i="13"/>
  <c r="AQ233" i="13"/>
  <c r="BE231" i="13"/>
  <c r="AY231" i="13"/>
  <c r="AQ231" i="13"/>
  <c r="U231" i="13"/>
  <c r="N231" i="13"/>
  <c r="AM219" i="13"/>
  <c r="U219" i="13"/>
  <c r="N219" i="13"/>
  <c r="N213" i="13"/>
  <c r="BM210" i="13"/>
  <c r="BI210" i="13"/>
  <c r="BE210" i="13"/>
  <c r="BE207" i="13"/>
  <c r="AN207" i="13"/>
  <c r="U207" i="13"/>
  <c r="N207" i="13"/>
  <c r="AM195" i="13"/>
  <c r="U195" i="13"/>
  <c r="N195" i="13"/>
  <c r="N189" i="13"/>
  <c r="BM186" i="13"/>
  <c r="BI186" i="13"/>
  <c r="BE186" i="13"/>
  <c r="AU186" i="13"/>
  <c r="AM186" i="13"/>
  <c r="BE183" i="13"/>
  <c r="U183" i="13"/>
  <c r="N183" i="13"/>
  <c r="AM171" i="13"/>
  <c r="U171" i="13"/>
  <c r="N171" i="13"/>
  <c r="N165" i="13"/>
  <c r="AU162" i="13"/>
  <c r="AQ162" i="13"/>
  <c r="AM162" i="13"/>
  <c r="AM159" i="13"/>
  <c r="U159" i="13"/>
  <c r="N159" i="13"/>
  <c r="AM147" i="13"/>
  <c r="U147" i="13"/>
  <c r="N147" i="13"/>
  <c r="AC142" i="13"/>
  <c r="U142" i="13"/>
  <c r="N141" i="13"/>
  <c r="BM138" i="13"/>
  <c r="BI138" i="13"/>
  <c r="BE138" i="13"/>
  <c r="AC137" i="13"/>
  <c r="U137" i="13"/>
  <c r="BE135" i="13"/>
  <c r="AM135" i="13"/>
  <c r="N135" i="13"/>
  <c r="AM123" i="13"/>
  <c r="U123" i="13"/>
  <c r="N123" i="13"/>
  <c r="U118" i="13"/>
  <c r="N117" i="13"/>
  <c r="BM114" i="13"/>
  <c r="BI114" i="13"/>
  <c r="BE114" i="13"/>
  <c r="U113" i="13"/>
  <c r="BE111" i="13"/>
  <c r="AM111" i="13"/>
  <c r="N111" i="13"/>
  <c r="AM99" i="13"/>
  <c r="U99" i="13"/>
  <c r="N99" i="13"/>
  <c r="AC94" i="13"/>
  <c r="U94" i="13"/>
  <c r="N93" i="13"/>
  <c r="BM90" i="13"/>
  <c r="BI90" i="13"/>
  <c r="BE90" i="13"/>
  <c r="AC89" i="13"/>
  <c r="U89" i="13"/>
  <c r="BE87" i="13"/>
  <c r="AM87" i="13"/>
  <c r="N87" i="13"/>
  <c r="AM75" i="13"/>
  <c r="U75" i="13"/>
  <c r="N75" i="13"/>
  <c r="N69" i="13"/>
  <c r="BM66" i="13"/>
  <c r="BI66" i="13"/>
  <c r="BE66" i="13"/>
  <c r="AU66" i="13"/>
  <c r="AM66" i="13"/>
  <c r="BE63" i="13"/>
  <c r="U63" i="13"/>
  <c r="N63" i="13"/>
  <c r="AM52" i="13"/>
  <c r="U52" i="13"/>
  <c r="N52" i="13"/>
  <c r="AM48" i="13"/>
  <c r="AM47" i="13"/>
  <c r="AM46" i="13"/>
  <c r="AM45" i="13"/>
  <c r="AM44" i="13"/>
  <c r="N44" i="13"/>
  <c r="AM43" i="13"/>
  <c r="AM42" i="13"/>
  <c r="BM39" i="13"/>
  <c r="BI39" i="13"/>
  <c r="BE39" i="13"/>
  <c r="AU38" i="13"/>
  <c r="AM38" i="13"/>
  <c r="BE36" i="13"/>
  <c r="U36" i="13"/>
  <c r="N36" i="13"/>
  <c r="BB24" i="13"/>
  <c r="AT24" i="13"/>
  <c r="AM24" i="13"/>
  <c r="AF24" i="13"/>
  <c r="Y24" i="13"/>
  <c r="R24" i="13"/>
  <c r="K24" i="13"/>
  <c r="D24" i="13"/>
  <c r="BF11" i="13"/>
  <c r="AO11" i="13"/>
  <c r="U11" i="13"/>
  <c r="C11" i="13"/>
  <c r="D279" i="12" l="1"/>
  <c r="AM266" i="12"/>
  <c r="U266" i="12"/>
  <c r="N266" i="12"/>
  <c r="N260" i="12"/>
  <c r="BM257" i="12"/>
  <c r="BI257" i="12"/>
  <c r="BE257" i="12"/>
  <c r="AU256" i="12"/>
  <c r="AM256" i="12"/>
  <c r="BE254" i="12"/>
  <c r="U254" i="12"/>
  <c r="N254" i="12"/>
  <c r="AM243" i="12"/>
  <c r="U243" i="12"/>
  <c r="N243" i="12"/>
  <c r="AQ239" i="12"/>
  <c r="AQ237" i="12"/>
  <c r="N237" i="12"/>
  <c r="AY236" i="12"/>
  <c r="AQ235" i="12"/>
  <c r="BM234" i="12"/>
  <c r="BI234" i="12"/>
  <c r="BE234" i="12"/>
  <c r="AQ233" i="12"/>
  <c r="BE231" i="12"/>
  <c r="AY231" i="12"/>
  <c r="AQ231" i="12"/>
  <c r="U231" i="12"/>
  <c r="N231" i="12"/>
  <c r="AM219" i="12"/>
  <c r="U219" i="12"/>
  <c r="N219" i="12"/>
  <c r="N213" i="12"/>
  <c r="BM210" i="12"/>
  <c r="BI210" i="12"/>
  <c r="BE210" i="12"/>
  <c r="BE207" i="12"/>
  <c r="AN207" i="12"/>
  <c r="U207" i="12"/>
  <c r="N207" i="12"/>
  <c r="AM195" i="12"/>
  <c r="U195" i="12"/>
  <c r="N195" i="12"/>
  <c r="N189" i="12"/>
  <c r="BM186" i="12"/>
  <c r="BI186" i="12"/>
  <c r="BE186" i="12"/>
  <c r="AU186" i="12"/>
  <c r="AM186" i="12"/>
  <c r="BE183" i="12"/>
  <c r="U183" i="12"/>
  <c r="N183" i="12"/>
  <c r="AM171" i="12"/>
  <c r="U171" i="12"/>
  <c r="N171" i="12"/>
  <c r="N165" i="12"/>
  <c r="AU162" i="12"/>
  <c r="AQ162" i="12"/>
  <c r="AM162" i="12"/>
  <c r="AM159" i="12"/>
  <c r="U159" i="12"/>
  <c r="N159" i="12"/>
  <c r="AM147" i="12"/>
  <c r="U147" i="12"/>
  <c r="N147" i="12"/>
  <c r="AC142" i="12"/>
  <c r="U142" i="12"/>
  <c r="N141" i="12"/>
  <c r="BM138" i="12"/>
  <c r="BI138" i="12"/>
  <c r="BE138" i="12"/>
  <c r="AC137" i="12"/>
  <c r="U137" i="12"/>
  <c r="BE135" i="12"/>
  <c r="AM135" i="12"/>
  <c r="N135" i="12"/>
  <c r="AM123" i="12"/>
  <c r="U123" i="12"/>
  <c r="N123" i="12"/>
  <c r="U118" i="12"/>
  <c r="N117" i="12"/>
  <c r="BM114" i="12"/>
  <c r="BI114" i="12"/>
  <c r="BE114" i="12"/>
  <c r="U113" i="12"/>
  <c r="BE111" i="12"/>
  <c r="AM111" i="12"/>
  <c r="N111" i="12"/>
  <c r="AM99" i="12"/>
  <c r="U99" i="12"/>
  <c r="N99" i="12"/>
  <c r="AC94" i="12"/>
  <c r="U94" i="12"/>
  <c r="N93" i="12"/>
  <c r="BM90" i="12"/>
  <c r="BI90" i="12"/>
  <c r="BE90" i="12"/>
  <c r="AC89" i="12"/>
  <c r="U89" i="12"/>
  <c r="BE87" i="12"/>
  <c r="AM87" i="12"/>
  <c r="N87" i="12"/>
  <c r="AM75" i="12"/>
  <c r="U75" i="12"/>
  <c r="N75" i="12"/>
  <c r="N69" i="12"/>
  <c r="BM66" i="12"/>
  <c r="BI66" i="12"/>
  <c r="BE66" i="12"/>
  <c r="AU66" i="12"/>
  <c r="AM66" i="12"/>
  <c r="BE63" i="12"/>
  <c r="U63" i="12"/>
  <c r="N63" i="12"/>
  <c r="AM52" i="12"/>
  <c r="U52" i="12"/>
  <c r="N52" i="12"/>
  <c r="AM48" i="12"/>
  <c r="AM47" i="12"/>
  <c r="AM46" i="12"/>
  <c r="AM45" i="12"/>
  <c r="AM44" i="12"/>
  <c r="N44" i="12"/>
  <c r="AM43" i="12"/>
  <c r="AM42" i="12"/>
  <c r="BM39" i="12"/>
  <c r="BI39" i="12"/>
  <c r="BE39" i="12"/>
  <c r="AU38" i="12"/>
  <c r="AM38" i="12"/>
  <c r="BE36" i="12"/>
  <c r="U36" i="12"/>
  <c r="N36" i="12"/>
  <c r="BB24" i="12"/>
  <c r="AT24" i="12"/>
  <c r="AM24" i="12"/>
  <c r="AF24" i="12"/>
  <c r="Y24" i="12"/>
  <c r="R24" i="12"/>
  <c r="K24" i="12"/>
  <c r="D24" i="12"/>
  <c r="BF11" i="12"/>
  <c r="AO11" i="12"/>
  <c r="U11" i="12"/>
  <c r="C11" i="12"/>
  <c r="D279" i="11" l="1"/>
  <c r="AM266" i="11"/>
  <c r="U266" i="11"/>
  <c r="N266" i="11"/>
  <c r="N260" i="11"/>
  <c r="BM257" i="11"/>
  <c r="BI257" i="11"/>
  <c r="BE257" i="11"/>
  <c r="AU256" i="11"/>
  <c r="AM256" i="11"/>
  <c r="BE254" i="11"/>
  <c r="U254" i="11"/>
  <c r="N254" i="11"/>
  <c r="AM243" i="11"/>
  <c r="U243" i="11"/>
  <c r="N243" i="11"/>
  <c r="AQ239" i="11"/>
  <c r="AQ237" i="11"/>
  <c r="N237" i="11"/>
  <c r="AY236" i="11"/>
  <c r="AQ235" i="11"/>
  <c r="BM234" i="11"/>
  <c r="BI234" i="11"/>
  <c r="BE234" i="11"/>
  <c r="AQ233" i="11"/>
  <c r="BE231" i="11"/>
  <c r="AY231" i="11"/>
  <c r="AQ231" i="11"/>
  <c r="U231" i="11"/>
  <c r="N231" i="11"/>
  <c r="AM219" i="11"/>
  <c r="U219" i="11"/>
  <c r="N219" i="11"/>
  <c r="N213" i="11"/>
  <c r="BM210" i="11"/>
  <c r="BI210" i="11"/>
  <c r="BE210" i="11"/>
  <c r="BE207" i="11"/>
  <c r="AN207" i="11"/>
  <c r="U207" i="11"/>
  <c r="N207" i="11"/>
  <c r="AM195" i="11"/>
  <c r="U195" i="11"/>
  <c r="N195" i="11"/>
  <c r="N189" i="11"/>
  <c r="BM186" i="11"/>
  <c r="BI186" i="11"/>
  <c r="BE186" i="11"/>
  <c r="AU186" i="11"/>
  <c r="AM186" i="11"/>
  <c r="BE183" i="11"/>
  <c r="U183" i="11"/>
  <c r="N183" i="11"/>
  <c r="AM171" i="11"/>
  <c r="U171" i="11"/>
  <c r="N171" i="11"/>
  <c r="N165" i="11"/>
  <c r="AU162" i="11"/>
  <c r="AQ162" i="11"/>
  <c r="AM162" i="11"/>
  <c r="AM159" i="11"/>
  <c r="U159" i="11"/>
  <c r="N159" i="11"/>
  <c r="AM147" i="11"/>
  <c r="U147" i="11"/>
  <c r="N147" i="11"/>
  <c r="AC142" i="11"/>
  <c r="U142" i="11"/>
  <c r="N141" i="11"/>
  <c r="BM138" i="11"/>
  <c r="BI138" i="11"/>
  <c r="BE138" i="11"/>
  <c r="AC137" i="11"/>
  <c r="U137" i="11"/>
  <c r="BE135" i="11"/>
  <c r="AM135" i="11"/>
  <c r="N135" i="11"/>
  <c r="AM123" i="11"/>
  <c r="U123" i="11"/>
  <c r="N123" i="11"/>
  <c r="U118" i="11"/>
  <c r="N117" i="11"/>
  <c r="BM114" i="11"/>
  <c r="BI114" i="11"/>
  <c r="BE114" i="11"/>
  <c r="U113" i="11"/>
  <c r="BE111" i="11"/>
  <c r="AM111" i="11"/>
  <c r="N111" i="11"/>
  <c r="AM99" i="11"/>
  <c r="U99" i="11"/>
  <c r="N99" i="11"/>
  <c r="AC94" i="11"/>
  <c r="U94" i="11"/>
  <c r="N93" i="11"/>
  <c r="BM90" i="11"/>
  <c r="BI90" i="11"/>
  <c r="BE90" i="11"/>
  <c r="AC89" i="11"/>
  <c r="U89" i="11"/>
  <c r="BE87" i="11"/>
  <c r="AM87" i="11"/>
  <c r="N87" i="11"/>
  <c r="AM75" i="11"/>
  <c r="U75" i="11"/>
  <c r="N75" i="11"/>
  <c r="N69" i="11"/>
  <c r="BM66" i="11"/>
  <c r="BI66" i="11"/>
  <c r="BE66" i="11"/>
  <c r="AU66" i="11"/>
  <c r="AM66" i="11"/>
  <c r="BE63" i="11"/>
  <c r="U63" i="11"/>
  <c r="N63" i="11"/>
  <c r="AM52" i="11"/>
  <c r="U52" i="11"/>
  <c r="N52" i="11"/>
  <c r="AM48" i="11"/>
  <c r="AM47" i="11"/>
  <c r="AM46" i="11"/>
  <c r="AM45" i="11"/>
  <c r="AM44" i="11"/>
  <c r="N44" i="11"/>
  <c r="AM43" i="11"/>
  <c r="AM42" i="11"/>
  <c r="BM39" i="11"/>
  <c r="BI39" i="11"/>
  <c r="BE39" i="11"/>
  <c r="AU38" i="11"/>
  <c r="AM38" i="11"/>
  <c r="BE36" i="11"/>
  <c r="U36" i="11"/>
  <c r="N36" i="11"/>
  <c r="BB24" i="11"/>
  <c r="AT24" i="11"/>
  <c r="AM24" i="11"/>
  <c r="AF24" i="11"/>
  <c r="Y24" i="11"/>
  <c r="R24" i="11"/>
  <c r="K24" i="11"/>
  <c r="D24" i="11"/>
  <c r="BF11" i="11"/>
  <c r="AO11" i="11"/>
  <c r="U11" i="11"/>
  <c r="C11" i="11"/>
  <c r="D279" i="10" l="1"/>
  <c r="AM266" i="10"/>
  <c r="U266" i="10"/>
  <c r="N266" i="10"/>
  <c r="N260" i="10"/>
  <c r="BM257" i="10"/>
  <c r="BI257" i="10"/>
  <c r="BE257" i="10"/>
  <c r="AU256" i="10"/>
  <c r="AM256" i="10"/>
  <c r="BE254" i="10"/>
  <c r="U254" i="10"/>
  <c r="N254" i="10"/>
  <c r="AM243" i="10"/>
  <c r="U243" i="10"/>
  <c r="N243" i="10"/>
  <c r="AQ239" i="10"/>
  <c r="AQ237" i="10"/>
  <c r="N237" i="10"/>
  <c r="AY236" i="10"/>
  <c r="AQ235" i="10"/>
  <c r="BM234" i="10"/>
  <c r="BI234" i="10"/>
  <c r="BE234" i="10"/>
  <c r="AQ233" i="10"/>
  <c r="BE231" i="10"/>
  <c r="AY231" i="10"/>
  <c r="AQ231" i="10"/>
  <c r="U231" i="10"/>
  <c r="N231" i="10"/>
  <c r="AM219" i="10"/>
  <c r="U219" i="10"/>
  <c r="N219" i="10"/>
  <c r="N213" i="10"/>
  <c r="BM210" i="10"/>
  <c r="BI210" i="10"/>
  <c r="BE210" i="10"/>
  <c r="BE207" i="10"/>
  <c r="AN207" i="10"/>
  <c r="U207" i="10"/>
  <c r="N207" i="10"/>
  <c r="AM195" i="10"/>
  <c r="U195" i="10"/>
  <c r="N195" i="10"/>
  <c r="N189" i="10"/>
  <c r="BM186" i="10"/>
  <c r="BI186" i="10"/>
  <c r="BE186" i="10"/>
  <c r="AU186" i="10"/>
  <c r="AM186" i="10"/>
  <c r="BE183" i="10"/>
  <c r="U183" i="10"/>
  <c r="N183" i="10"/>
  <c r="AM171" i="10"/>
  <c r="U171" i="10"/>
  <c r="N171" i="10"/>
  <c r="N165" i="10"/>
  <c r="AU162" i="10"/>
  <c r="AQ162" i="10"/>
  <c r="AM162" i="10"/>
  <c r="AM159" i="10"/>
  <c r="U159" i="10"/>
  <c r="N159" i="10"/>
  <c r="AM147" i="10"/>
  <c r="U147" i="10"/>
  <c r="N147" i="10"/>
  <c r="AC142" i="10"/>
  <c r="U142" i="10"/>
  <c r="N141" i="10"/>
  <c r="BM138" i="10"/>
  <c r="BI138" i="10"/>
  <c r="BE138" i="10"/>
  <c r="AC137" i="10"/>
  <c r="U137" i="10"/>
  <c r="BE135" i="10"/>
  <c r="AM135" i="10"/>
  <c r="N135" i="10"/>
  <c r="AM123" i="10"/>
  <c r="U123" i="10"/>
  <c r="N123" i="10"/>
  <c r="U118" i="10"/>
  <c r="N117" i="10"/>
  <c r="BM114" i="10"/>
  <c r="BI114" i="10"/>
  <c r="BE114" i="10"/>
  <c r="U113" i="10"/>
  <c r="BE111" i="10"/>
  <c r="AM111" i="10"/>
  <c r="N111" i="10"/>
  <c r="AM99" i="10"/>
  <c r="U99" i="10"/>
  <c r="N99" i="10"/>
  <c r="AC94" i="10"/>
  <c r="U94" i="10"/>
  <c r="N93" i="10"/>
  <c r="BM90" i="10"/>
  <c r="BI90" i="10"/>
  <c r="BE90" i="10"/>
  <c r="AC89" i="10"/>
  <c r="U89" i="10"/>
  <c r="BE87" i="10"/>
  <c r="AM87" i="10"/>
  <c r="N87" i="10"/>
  <c r="AM75" i="10"/>
  <c r="U75" i="10"/>
  <c r="N75" i="10"/>
  <c r="N69" i="10"/>
  <c r="BM66" i="10"/>
  <c r="BI66" i="10"/>
  <c r="BE66" i="10"/>
  <c r="AU66" i="10"/>
  <c r="AM66" i="10"/>
  <c r="BE63" i="10"/>
  <c r="U63" i="10"/>
  <c r="N63" i="10"/>
  <c r="AM52" i="10"/>
  <c r="U52" i="10"/>
  <c r="N52" i="10"/>
  <c r="AM48" i="10"/>
  <c r="AM47" i="10"/>
  <c r="AM46" i="10"/>
  <c r="AM45" i="10"/>
  <c r="AM44" i="10"/>
  <c r="N44" i="10"/>
  <c r="AM43" i="10"/>
  <c r="AM42" i="10"/>
  <c r="BM39" i="10"/>
  <c r="BI39" i="10"/>
  <c r="BE39" i="10"/>
  <c r="AU38" i="10"/>
  <c r="AM38" i="10"/>
  <c r="BE36" i="10"/>
  <c r="U36" i="10"/>
  <c r="N36" i="10"/>
  <c r="BB24" i="10"/>
  <c r="AT24" i="10"/>
  <c r="AM24" i="10"/>
  <c r="AF24" i="10"/>
  <c r="Y24" i="10"/>
  <c r="R24" i="10"/>
  <c r="K24" i="10"/>
  <c r="D24" i="10"/>
  <c r="BF11" i="10"/>
  <c r="AO11" i="10"/>
  <c r="U11" i="10"/>
  <c r="C11" i="10"/>
  <c r="D279" i="9" l="1"/>
  <c r="AM266" i="9"/>
  <c r="U266" i="9"/>
  <c r="N266" i="9"/>
  <c r="N260" i="9"/>
  <c r="BM257" i="9"/>
  <c r="BI257" i="9"/>
  <c r="BE257" i="9"/>
  <c r="AU256" i="9"/>
  <c r="AM256" i="9"/>
  <c r="BE254" i="9"/>
  <c r="U254" i="9"/>
  <c r="N254" i="9"/>
  <c r="AM243" i="9"/>
  <c r="U243" i="9"/>
  <c r="N243" i="9"/>
  <c r="AQ239" i="9"/>
  <c r="AQ237" i="9"/>
  <c r="N237" i="9"/>
  <c r="AY236" i="9"/>
  <c r="AQ235" i="9"/>
  <c r="BM234" i="9"/>
  <c r="BI234" i="9"/>
  <c r="BE234" i="9"/>
  <c r="AQ233" i="9"/>
  <c r="BE231" i="9"/>
  <c r="AY231" i="9"/>
  <c r="AQ231" i="9"/>
  <c r="U231" i="9"/>
  <c r="N231" i="9"/>
  <c r="AM219" i="9"/>
  <c r="U219" i="9"/>
  <c r="N219" i="9"/>
  <c r="N213" i="9"/>
  <c r="BM210" i="9"/>
  <c r="BI210" i="9"/>
  <c r="BE210" i="9"/>
  <c r="BE207" i="9"/>
  <c r="AN207" i="9"/>
  <c r="U207" i="9"/>
  <c r="N207" i="9"/>
  <c r="AM195" i="9"/>
  <c r="U195" i="9"/>
  <c r="N195" i="9"/>
  <c r="N189" i="9"/>
  <c r="BM186" i="9"/>
  <c r="BI186" i="9"/>
  <c r="BE186" i="9"/>
  <c r="AU186" i="9"/>
  <c r="AM186" i="9"/>
  <c r="BE183" i="9"/>
  <c r="U183" i="9"/>
  <c r="N183" i="9"/>
  <c r="AM171" i="9"/>
  <c r="U171" i="9"/>
  <c r="N171" i="9"/>
  <c r="N165" i="9"/>
  <c r="AU162" i="9"/>
  <c r="AQ162" i="9"/>
  <c r="AM162" i="9"/>
  <c r="AM159" i="9"/>
  <c r="U159" i="9"/>
  <c r="N159" i="9"/>
  <c r="AM147" i="9"/>
  <c r="U147" i="9"/>
  <c r="N147" i="9"/>
  <c r="AC142" i="9"/>
  <c r="U142" i="9"/>
  <c r="N141" i="9"/>
  <c r="BM138" i="9"/>
  <c r="BI138" i="9"/>
  <c r="BE138" i="9"/>
  <c r="AC137" i="9"/>
  <c r="U137" i="9"/>
  <c r="BE135" i="9"/>
  <c r="AM135" i="9"/>
  <c r="N135" i="9"/>
  <c r="AM123" i="9"/>
  <c r="U123" i="9"/>
  <c r="N123" i="9"/>
  <c r="U118" i="9"/>
  <c r="N117" i="9"/>
  <c r="BM114" i="9"/>
  <c r="BI114" i="9"/>
  <c r="BE114" i="9"/>
  <c r="U113" i="9"/>
  <c r="BE111" i="9"/>
  <c r="AM111" i="9"/>
  <c r="N111" i="9"/>
  <c r="AM99" i="9"/>
  <c r="U99" i="9"/>
  <c r="N99" i="9"/>
  <c r="AC94" i="9"/>
  <c r="U94" i="9"/>
  <c r="N93" i="9"/>
  <c r="BM90" i="9"/>
  <c r="BI90" i="9"/>
  <c r="BE90" i="9"/>
  <c r="AC89" i="9"/>
  <c r="U89" i="9"/>
  <c r="BE87" i="9"/>
  <c r="AM87" i="9"/>
  <c r="N87" i="9"/>
  <c r="AM75" i="9"/>
  <c r="U75" i="9"/>
  <c r="N75" i="9"/>
  <c r="N69" i="9"/>
  <c r="BM66" i="9"/>
  <c r="BI66" i="9"/>
  <c r="BE66" i="9"/>
  <c r="AU66" i="9"/>
  <c r="AM66" i="9"/>
  <c r="BE63" i="9"/>
  <c r="U63" i="9"/>
  <c r="N63" i="9"/>
  <c r="AM52" i="9"/>
  <c r="U52" i="9"/>
  <c r="N52" i="9"/>
  <c r="AM48" i="9"/>
  <c r="AM47" i="9"/>
  <c r="AM46" i="9"/>
  <c r="AM45" i="9"/>
  <c r="AM44" i="9"/>
  <c r="N44" i="9"/>
  <c r="AM43" i="9"/>
  <c r="AM42" i="9"/>
  <c r="BM39" i="9"/>
  <c r="BI39" i="9"/>
  <c r="BE39" i="9"/>
  <c r="AU38" i="9"/>
  <c r="AM38" i="9"/>
  <c r="BE36" i="9"/>
  <c r="U36" i="9"/>
  <c r="N36" i="9"/>
  <c r="BB24" i="9"/>
  <c r="AT24" i="9"/>
  <c r="AM24" i="9"/>
  <c r="AF24" i="9"/>
  <c r="Y24" i="9"/>
  <c r="R24" i="9"/>
  <c r="K24" i="9"/>
  <c r="D24" i="9"/>
  <c r="BF11" i="9"/>
  <c r="AO11" i="9"/>
  <c r="U11" i="9"/>
  <c r="C11" i="9"/>
  <c r="D279" i="7" l="1"/>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D279" i="6" l="1"/>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I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alcChain>
</file>

<file path=xl/sharedStrings.xml><?xml version="1.0" encoding="utf-8"?>
<sst xmlns="http://schemas.openxmlformats.org/spreadsheetml/2006/main" count="2288" uniqueCount="74">
  <si>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</si>
  <si>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</si>
  <si>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</si>
  <si>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</si>
  <si>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</si>
  <si>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</si>
  <si>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</si>
  <si>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</si>
  <si>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</si>
  <si>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</si>
  <si>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</si>
  <si>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</si>
  <si>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</si>
  <si>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</si>
  <si>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取組事項</t>
    <rPh sb="0" eb="2">
      <t>トリクミ</t>
    </rPh>
    <rPh sb="2" eb="4">
      <t>ジコウ</t>
    </rPh>
    <phoneticPr fontId="9"/>
  </si>
  <si>
    <t>（取組の概要及び効果）</t>
    <rPh sb="1" eb="2">
      <t>ト</t>
    </rPh>
    <rPh sb="2" eb="3">
      <t>ク</t>
    </rPh>
    <rPh sb="4" eb="6">
      <t>ガイヨウ</t>
    </rPh>
    <rPh sb="6" eb="7">
      <t>オヨ</t>
    </rPh>
    <rPh sb="8" eb="10">
      <t>コウカ</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</si>
  <si>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</si>
  <si>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</si>
  <si>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</si>
  <si>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</si>
  <si>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</si>
  <si>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</si>
  <si>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</si>
  <si>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</si>
  <si>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</si>
  <si>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</si>
  <si>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</si>
  <si>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</si>
  <si>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</si>
  <si>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</si>
  <si>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</si>
  <si>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</si>
  <si>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</si>
  <si>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</si>
  <si>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</si>
  <si>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</si>
  <si>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（取組の概要及び効果）</t>
    <rPh sb="1" eb="2">
      <t>ト</t>
    </rPh>
    <rPh sb="2" eb="3">
      <t>ク</t>
    </rPh>
    <rPh sb="4" eb="6">
      <t>ガイヨウ</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</si>
  <si>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</si>
  <si>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</si>
  <si>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</si>
  <si>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</si>
  <si>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</si>
  <si>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</si>
  <si>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</si>
  <si>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</si>
  <si>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</si>
  <si>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t>
    <rPh sb="0" eb="2">
      <t>カンイ</t>
    </rPh>
    <rPh sb="2" eb="4">
      <t>スイドウ</t>
    </rPh>
    <rPh sb="4" eb="6">
      <t>ジギョウ</t>
    </rPh>
    <rPh sb="6" eb="8">
      <t>トウゴウ</t>
    </rPh>
    <phoneticPr fontId="9"/>
  </si>
  <si>
    <t>簡易水道事業統合以外</t>
    <rPh sb="0" eb="2">
      <t>カンイ</t>
    </rPh>
    <rPh sb="2" eb="4">
      <t>スイドウ</t>
    </rPh>
    <rPh sb="4" eb="6">
      <t>ジギョウ</t>
    </rPh>
    <rPh sb="6" eb="8">
      <t>トウゴウ</t>
    </rPh>
    <rPh sb="8" eb="10">
      <t>イガイ</t>
    </rPh>
    <phoneticPr fontId="9"/>
  </si>
  <si>
    <t>（下水道事業）広域化等</t>
    <rPh sb="1" eb="2">
      <t>シタ</t>
    </rPh>
    <rPh sb="2" eb="4">
      <t>スイドウ</t>
    </rPh>
    <rPh sb="4" eb="6">
      <t>ジギョウ</t>
    </rPh>
    <phoneticPr fontId="9"/>
  </si>
  <si>
    <t>汚水処理施設の
統廃合</t>
    <rPh sb="0" eb="2">
      <t>オスイ</t>
    </rPh>
    <rPh sb="2" eb="4">
      <t>ショリ</t>
    </rPh>
    <rPh sb="4" eb="6">
      <t>シセツ</t>
    </rPh>
    <rPh sb="8" eb="11">
      <t>トウハイゴウ</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</si>
  <si>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</si>
  <si>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</si>
  <si>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</si>
  <si>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</si>
  <si>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</si>
  <si>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</si>
  <si>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</si>
  <si>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</si>
  <si>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</si>
  <si>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</si>
  <si>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</si>
  <si>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</si>
  <si>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</si>
  <si>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</si>
  <si>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</si>
  <si>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</si>
  <si>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その他</t>
    <rPh sb="2" eb="3">
      <t>タ</t>
    </rPh>
    <phoneticPr fontId="9"/>
  </si>
  <si>
    <t>DB方式</t>
    <rPh sb="2" eb="4">
      <t>ホウシキ</t>
    </rPh>
    <phoneticPr fontId="9"/>
  </si>
  <si>
    <t>DBO方式</t>
    <rPh sb="3" eb="5">
      <t>ホウシキ</t>
    </rPh>
    <phoneticPr fontId="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</si>
  <si>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</si>
  <si>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</si>
  <si>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</si>
  <si>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</si>
  <si>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抜本的な改革に取り組まず、現行の経営体制・手法を継続する理由及び現在の経営状況・経営戦略等における中長期的な将来見通しを踏まえた、今後の経営改革の方向性</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</si>
</sst>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0"/>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87">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Alignment="1">
      <alignment wrapText="1"/>
    </xf>
    <xf numFmtId="0" fontId="17" fillId="2" borderId="0" xfId="1" applyFont="1" applyFill="1" applyAlignment="1"/>
    <xf numFmtId="0" fontId="21" fillId="2" borderId="0" xfId="1" applyFont="1" applyFill="1" applyAlignment="1"/>
    <xf numFmtId="0" fontId="4" fillId="2" borderId="0" xfId="1" applyFont="1" applyFill="1" applyAlignment="1">
      <alignment horizontal="left" vertical="center" wrapText="1"/>
    </xf>
    <xf numFmtId="0" fontId="18" fillId="2" borderId="6" xfId="1" applyFont="1" applyFill="1" applyBorder="1">
      <alignment vertical="center"/>
    </xf>
    <xf numFmtId="0" fontId="21" fillId="2" borderId="0" xfId="1" applyFont="1" applyFill="1">
      <alignment vertical="center"/>
    </xf>
    <xf numFmtId="0" fontId="17" fillId="2" borderId="0" xfId="1" applyFont="1" applyFill="1" applyAlignment="1">
      <alignment shrinkToFit="1"/>
    </xf>
    <xf numFmtId="0" fontId="4" fillId="2" borderId="0" xfId="1" applyFont="1" applyFill="1" applyAlignment="1">
      <alignment vertical="center" wrapText="1"/>
    </xf>
    <xf numFmtId="0" fontId="17" fillId="2" borderId="0" xfId="1" applyFont="1" applyFill="1" applyAlignment="1">
      <alignment horizontal="left" wrapText="1"/>
    </xf>
    <xf numFmtId="0" fontId="22" fillId="2" borderId="0" xfId="1" applyFont="1" applyFill="1">
      <alignment vertical="center"/>
    </xf>
    <xf numFmtId="0" fontId="21" fillId="2" borderId="0" xfId="1" applyFont="1" applyFill="1" applyAlignment="1">
      <alignment shrinkToFi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8" xfId="1" applyFont="1" applyFill="1" applyBorder="1" applyAlignment="1">
      <alignment wrapText="1"/>
    </xf>
    <xf numFmtId="0" fontId="21" fillId="2" borderId="0" xfId="1" applyFont="1" applyFill="1" applyAlignment="1">
      <alignment wrapText="1"/>
    </xf>
    <xf numFmtId="0" fontId="22" fillId="2" borderId="0" xfId="1" applyFont="1" applyFill="1" applyAlignment="1">
      <alignment horizontal="left" vertical="center"/>
    </xf>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21" fillId="2" borderId="8" xfId="1" applyFont="1" applyFill="1" applyBorder="1" applyAlignment="1"/>
    <xf numFmtId="0" fontId="17" fillId="2" borderId="0" xfId="1" applyFont="1" applyFill="1" applyAlignment="1">
      <alignment horizontal="left" vertical="center" wrapText="1"/>
    </xf>
    <xf numFmtId="0" fontId="25" fillId="2" borderId="0" xfId="1" applyFont="1" applyFill="1" applyAlignment="1">
      <alignment horizontal="left" vertical="center"/>
    </xf>
    <xf numFmtId="0" fontId="13"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1"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9" xfId="1" applyFont="1" applyBorder="1" applyAlignment="1">
      <alignment horizontal="center" vertical="center" shrinkToFi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8" xfId="1" applyFont="1" applyBorder="1" applyAlignment="1">
      <alignment horizontal="center" vertical="center" shrinkToFit="1"/>
    </xf>
    <xf numFmtId="0" fontId="25" fillId="0" borderId="9"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3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18" fillId="0" borderId="1" xfId="1" quotePrefix="1" applyFont="1" applyBorder="1" applyAlignment="1">
      <alignment horizontal="center" vertical="center" wrapText="1"/>
    </xf>
    <xf numFmtId="0" fontId="17" fillId="2" borderId="3" xfId="1" applyFont="1" applyFill="1" applyBorder="1" applyAlignment="1">
      <alignment horizontal="left" wrapText="1"/>
    </xf>
    <xf numFmtId="0" fontId="17" fillId="2" borderId="8" xfId="1" applyFont="1" applyFill="1" applyBorder="1" applyAlignment="1">
      <alignment horizontal="left"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25" fillId="0" borderId="5" xfId="1" applyFont="1" applyBorder="1" applyAlignment="1">
      <alignment horizontal="center" vertical="center" shrinkToFit="1"/>
    </xf>
    <xf numFmtId="0" fontId="25" fillId="0" borderId="0" xfId="1" applyFont="1" applyAlignment="1">
      <alignment horizontal="center" vertical="center" shrinkToFit="1"/>
    </xf>
    <xf numFmtId="0" fontId="25" fillId="0" borderId="6" xfId="1" applyFont="1" applyBorder="1" applyAlignment="1">
      <alignment horizontal="center" vertical="center" shrinkToFit="1"/>
    </xf>
    <xf numFmtId="0" fontId="15" fillId="0" borderId="1" xfId="1" applyFont="1" applyBorder="1" applyAlignment="1">
      <alignment horizontal="center" vertical="center" wrapText="1"/>
    </xf>
    <xf numFmtId="0" fontId="17" fillId="2" borderId="0" xfId="1" applyFont="1" applyFill="1" applyAlignment="1">
      <alignment horizontal="left"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 xfId="1" applyFont="1" applyBorder="1" applyAlignment="1">
      <alignment horizontal="center" vertical="center" wrapText="1" shrinkToFit="1"/>
    </xf>
    <xf numFmtId="0" fontId="26" fillId="0" borderId="10" xfId="1" applyFont="1" applyBorder="1">
      <alignment vertical="center"/>
    </xf>
    <xf numFmtId="0" fontId="26" fillId="0" borderId="12"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5" fillId="0" borderId="1"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5" xfId="1" applyFont="1" applyBorder="1" applyAlignment="1">
      <alignment horizontal="left" vertical="center" wrapText="1"/>
    </xf>
    <xf numFmtId="0" fontId="1" fillId="0" borderId="0" xfId="1" applyFont="1" applyAlignment="1">
      <alignment horizontal="left" vertical="center" wrapText="1"/>
    </xf>
    <xf numFmtId="0" fontId="1"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32" fillId="0" borderId="2" xfId="1" applyFont="1" applyBorder="1" applyAlignment="1">
      <alignment horizontal="left" vertical="center" wrapText="1"/>
    </xf>
    <xf numFmtId="0" fontId="32" fillId="0" borderId="3" xfId="1" applyFont="1" applyBorder="1" applyAlignment="1">
      <alignment horizontal="left" vertical="center" wrapText="1"/>
    </xf>
    <xf numFmtId="0" fontId="32" fillId="0" borderId="4" xfId="1" applyFont="1" applyBorder="1" applyAlignment="1">
      <alignment horizontal="left" vertical="center" wrapText="1"/>
    </xf>
    <xf numFmtId="0" fontId="32" fillId="0" borderId="5" xfId="1" applyFont="1" applyBorder="1" applyAlignment="1">
      <alignment horizontal="left" vertical="center" wrapText="1"/>
    </xf>
    <xf numFmtId="0" fontId="32" fillId="0" borderId="0" xfId="1" applyFont="1" applyAlignment="1">
      <alignment horizontal="left" vertical="center" wrapText="1"/>
    </xf>
    <xf numFmtId="0" fontId="32" fillId="0" borderId="6" xfId="1" applyFont="1" applyBorder="1" applyAlignment="1">
      <alignment horizontal="left" vertical="center" wrapText="1"/>
    </xf>
    <xf numFmtId="0" fontId="32" fillId="0" borderId="7"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0" xfId="1" applyFont="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cellXfs>
  <cellStyles count="2">
    <cellStyle name="標準" xfId="0" builtinId="0"/>
    <cellStyle name="標準 2" xfId="1" xr:uid="{8A16AE85-A7F9-41A8-AE23-FE510309C773}"/>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3FCEBC4-24DB-404F-92B8-71AC9DCE799F}"/>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F4276E-ADD7-4AE3-A3C1-A116DA832611}"/>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111496</xdr:colOff>
      <xdr:row>27</xdr:row>
      <xdr:rowOff>123040</xdr:rowOff>
    </xdr:from>
    <xdr:to>
      <xdr:col>28</xdr:col>
      <xdr:colOff>111495</xdr:colOff>
      <xdr:row>29</xdr:row>
      <xdr:rowOff>170212</xdr:rowOff>
    </xdr:to>
    <xdr:sp macro="" textlink="">
      <xdr:nvSpPr>
        <xdr:cNvPr id="4" name="角丸四角形 3">
          <a:extLst>
            <a:ext uri="{FF2B5EF4-FFF2-40B4-BE49-F238E27FC236}">
              <a16:creationId xmlns:a16="http://schemas.microsoft.com/office/drawing/2014/main" id="{B56CC5DF-08E9-4417-A42D-056049E90A3D}"/>
            </a:ext>
          </a:extLst>
        </xdr:cNvPr>
        <xdr:cNvSpPr/>
      </xdr:nvSpPr>
      <xdr:spPr>
        <a:xfrm>
          <a:off x="527132" y="5370449"/>
          <a:ext cx="5403272"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D0ECB84-92F2-4C27-A1F0-50E2E14CB9FC}"/>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BCF494D-B806-4E91-BDBF-45051044B94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AEE30EF-C41C-4EB2-BA40-D171D0373E2B}"/>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ECEDA03-5F5B-465D-84FE-C6AEA0C41D71}"/>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8AC8DD2-01D2-42B2-BBA5-659B4413A4B1}"/>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93D0DB3-D16A-4B23-BAC6-79E26E6C750B}"/>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6B59311-C207-4895-95DD-6F4181B50951}"/>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8D739D1E-5A34-4573-80AA-11AE85395FA5}"/>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746D3CA8-37F3-4F65-9FB1-86835511B37C}"/>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2421586-6C1B-4BAD-90B7-1CE75DDF5D23}"/>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223054F-4D2B-456D-9B2F-0831968CDA4A}"/>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80DF209-8435-4E9B-9A8E-0C7313B5E986}"/>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E12C7B6-B53C-4411-931C-3A8D33D2B6DB}"/>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E0C7510-D684-4DE9-80A1-AD77B0E0924D}"/>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E622DA1-0B54-4D92-B775-5B4D40FFEBA5}"/>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71B8E78-27B1-427C-8FB1-A3A41F02941F}"/>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3EC4A20-C7FB-4778-BA64-09D68B16936C}"/>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A301088-9FE8-4E9B-8FA9-709476327FE4}"/>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9180486-6CD6-4B28-8BA1-6777242EAE80}"/>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A0FB377-DFFA-4EDB-A1A5-23D85F0B9A6F}"/>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AB6B79C-3400-4112-B1AE-CC70C218F456}"/>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4CF0CCD-CC98-401E-9C92-E9846A59356B}"/>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22D7F73-7331-4969-A198-8D833C88B033}"/>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8DBD74-469E-4209-977B-1A1BBD51D46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D5B9E1-80A7-4235-8111-B7FC6B0202B1}"/>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1D2599A4-147A-47BB-8BA9-00068DE986F0}"/>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AFD2F0-7A68-4831-8E45-6574B426FDCB}"/>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3FCAA4C-70A5-4CFF-BE75-C3DA3005A476}"/>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0705EF8-685D-4F4F-93DB-EB62A47583FF}"/>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D8C8001-C98F-46BC-B5BD-0A3F6F92FE05}"/>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78B94DF-D133-47B3-95D9-04ED7F74EE3E}"/>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9B65D4D-485C-4B52-88FE-73CCDF049CB8}"/>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45619DD-B6BF-4941-89CF-1853E8C67A72}"/>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4BF780-D881-4FAD-B9C2-EE3FD38DCB0F}"/>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3BD8CA5-748F-412E-9672-D644EC807699}"/>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F52E25A-298C-43CB-BE7E-ECE62EE9C6B0}"/>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42829D4-1DDB-4236-AFED-8155D75F4151}"/>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C9CEC57-C924-42C7-9451-5C43E32B585D}"/>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52AD435-A443-4E2D-842B-171861EA8B90}"/>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FFB578B-D47D-4852-AA0A-67E8E2067ECE}"/>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95DD328-C7F0-44AA-87DB-C8979814E186}"/>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38FCF32-CDBD-4763-B8C7-0CB547AF3829}"/>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404276F-9504-4858-93B4-3B8890B0197E}"/>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52DA891-67B2-43FB-A6C6-C30AA943E9F9}"/>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04B6FAB-1CAF-4F8A-B7C4-F1FBC15385F9}"/>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9AA7693-25DF-4E71-B8B7-F9FCB467CCD4}"/>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778EBEC-17E0-4D06-BEAC-C61DC81E3872}"/>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CE6BB55-320B-4992-BC11-14961AF291AB}"/>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E34B6A-C09C-4F59-8077-8054C1B9B5F8}"/>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F3B364-E8AE-4966-88C1-3DE898BD4CFE}"/>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6C63CF4-B3C9-4AE3-81CB-BC443B8EC5DF}"/>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0E46507-F8D3-40DE-B546-276618469B5F}"/>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B8354E51-E8CB-42B2-B1EF-44DBD050A04B}"/>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84D25DF-D41E-458B-A8EA-63641EEA4A4A}"/>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FAA092F-135D-42C0-8455-BBD4B79FD444}"/>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C793578-92EA-4B69-959C-3E2D7E3E2DBF}"/>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C311437-F399-4AEF-8F5A-0AAAA69C336D}"/>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76E7399-FBA6-445C-BD86-0D33243EF3D0}"/>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5DC5E64-842D-422E-9F58-3623E452F6F2}"/>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B9B165F-AF62-4213-9C24-FC25829DF1B4}"/>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455484A-3A8E-4067-A86E-E999731A58CC}"/>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5A6E72C-CF46-4D79-A0BC-4A1F3D5B0E05}"/>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4C45062-2F74-4827-831C-5468763ECF91}"/>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178D1F8-D106-4542-9427-207BFEB26336}"/>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7C7DFF3-73C9-440E-B3D5-BFA96F3CBCCC}"/>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8481D4F-3E0F-44E0-909C-E3DBDB331E4D}"/>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F0EB440-7776-4789-8380-C663606EE544}"/>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FA33113-099C-46B9-8A16-8E1162006E8F}"/>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FBA8343-C84A-497D-95DB-242252F6D885}"/>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338B8FF-1D74-484D-81C3-6E6CA31CE006}"/>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29AB5B2-B3CB-4788-83EC-C3F75EE432A0}"/>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F017D10-81CB-4F75-B08C-9C57F07683C9}"/>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3BB4CEA-E563-4F60-B5A7-E590EAE5423A}"/>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6BBDF6-439D-4123-977C-FF579BFEE85E}"/>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5873B2-02B9-471F-AB37-25AAEA066B77}"/>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239CA77-E463-47BA-9A09-76A6C9132233}"/>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6D2A2A-E870-44C3-BEFB-7C686363124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F1FEB1C-9B9E-4893-8817-CE596FB66392}"/>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4938830-2194-4E3A-B54F-90120FA3715D}"/>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3B0D8B4-9777-497F-B26A-F8C1C9BCEF94}"/>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DDBD8EE-C600-466F-A96B-6C9FAB18EB8D}"/>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7D47847-82D2-450A-A8A9-913D96AEDD08}"/>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182D75C-C2EC-4872-A462-EDA1FFE57434}"/>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69C49C4-CA72-4473-99E5-277417E71E2D}"/>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DBBD756-6228-4C99-B173-312B0D877B8E}"/>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FC43B20-157E-4D7D-B2F8-722AAFA8B20B}"/>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B4DAAA7-7452-4F21-AF86-E794F4B28A8F}"/>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5288A36-BB67-4F43-9077-055B5D3D0F25}"/>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8CE4703-D4B4-4AF8-AF54-07ADEC4570CC}"/>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D9C6522-7033-456C-8373-8A16CC55A6A0}"/>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FCB7DE2-1167-4F39-AEF8-1DA69D915FDD}"/>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3725AE3-F0C7-49E7-A64E-AD83DB93B1A0}"/>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791B3C5-21CC-4497-B689-39FA10F4FFF5}"/>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CE34E26-4CC2-4AD1-907E-19CDF78324EB}"/>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C1E415C-23F3-4508-9FD3-32556AA6FA13}"/>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EFB7453-8907-47C6-82BC-8B99F9CFB7A7}"/>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3224FCC-3B53-48EC-A616-F214B4AAD0E5}"/>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DD137CB-C01A-4E50-BD93-B842D4CEF0D8}"/>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698CED-F433-4DC1-AD24-0BC9527F125F}"/>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AAF961-BAB4-4C2B-9410-42AF76C2C872}"/>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CFD7C3D-AB2B-4A56-8E1D-6B2B39790E5B}"/>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B3D4CEF-DCA1-4B70-9A1C-E9952F8D6C3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257EA0D-2D26-4F4F-85C0-44293FC5387D}"/>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7A50F89-519C-4A4A-9306-6F68D231D6D1}"/>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9080450-EA2F-41A7-83C7-573B2238DDDB}"/>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465589B-55CF-4B5E-98B3-E1C1ABA61365}"/>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E639228-B9B4-4042-A447-9620177815BD}"/>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747EA34-1B51-4C12-80FD-79CCF80A46DA}"/>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AB9F8CD-2756-400A-B41C-B01EE03C63ED}"/>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EF76A74-7070-4B67-9EEE-89731E86FE56}"/>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F46D0FC-C4B7-4732-B7E9-6E6CE566FF45}"/>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DC1F19C-E5BB-43C2-ABA6-9E9D6875AA06}"/>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5A679AF-C245-4A24-BD7D-4A74227336CA}"/>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1E98921-D53B-43DC-AD33-D7BC96DA48A0}"/>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318BCB3-E16F-4AB0-9306-F7AAA363CF85}"/>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144389EE-5E55-4962-A114-B0D5954C8429}"/>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1C471CB-88F8-497B-8A47-F34892182EB8}"/>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1BCA197-72C1-4C2E-ACD1-B819ED30487F}"/>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E5E7678-E7C3-4E83-9A8A-26C68EFD1F4D}"/>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75918D5-85E6-4AD6-A767-6924402E3048}"/>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D6D6393-1898-4EE2-B43E-68E8544A5331}"/>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EDAC3F6-ED81-4A38-9913-7C0763FE298E}"/>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8844F14-C8B7-4EA2-93B5-CD47F423AEE4}"/>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906575-1111-40F9-A9D6-CCBE58DCF0C5}"/>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C40460-FE69-4B4C-96F4-8FE98F4ADEFB}"/>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39F0AE5-CD9D-4703-BEFF-DFAC48267DC0}"/>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91EB861-A2D1-496E-8240-70B3B3B7CBDF}"/>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B1ED166B-8841-4F85-816D-647BB19045B1}"/>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CB6CF0F-6880-45F5-A4CE-B6EABD99B69C}"/>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CD31179-3892-4A0B-8368-0034454CD3D8}"/>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6B049D2-5EC1-47A4-9592-2582C95CB50D}"/>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A68D70E-CFB7-4464-94CF-5E49F939088A}"/>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C480120-ADB2-42CB-A612-99EB4042F5E7}"/>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DE0EC4A-DA36-4539-BFB7-F8E343CBF0A5}"/>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2E0269C4-0329-4C04-948B-DB2716E483C6}"/>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C6BF905-C133-4D9F-8696-B8CFF595E5F7}"/>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BB27A45-B8A3-412C-811B-A261BD9C9935}"/>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B9A9ADB-1CE6-455C-A3E0-F49522494A53}"/>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274AFC8-A245-4865-BF2B-C3147E43FE2E}"/>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C2CA570-5168-4BDF-B0E4-9E0221384E30}"/>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42504CB-EACC-43B1-BB71-55E5881B324F}"/>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234D3F0-385B-4DDD-B0F1-D3F344992AB1}"/>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8C8BD75-7E52-4D17-8B62-817BBA88429F}"/>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2BA2E39-CB5E-42E9-983B-F6975880383E}"/>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215181E-24C6-4F9A-A89E-F536375F58BA}"/>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121983B-D22C-4EE3-97EF-7C67B72FD372}"/>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9664B69-5810-4566-8322-44E58F8E8B99}"/>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B584AA7-CD9E-4415-983A-159F9E03DA4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DCDC6D-CB1A-457F-8DA1-2C1F6F6B157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FF7990-A566-471D-BD3F-9CB75F61C0A2}"/>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9A4C8F4-4788-40FC-ADB0-FAA3910727B7}"/>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EDAC3E-57C4-4823-B194-2BF72E1A5E0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2A81EC3-9D72-47EA-A960-3BAADA646256}"/>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48DB8D9-EA6E-4E34-9CCE-F161B1E351F8}"/>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E343FC7-8731-47CE-910D-E19B654C0C08}"/>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505CB79-821E-4627-AEB5-F7DF6EC042CB}"/>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1FF43C5-F517-4855-BF14-133BB71A2D42}"/>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8838DEE-4FB4-4F23-914E-06C8E58D3176}"/>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A0580A6-3A14-43F3-937B-8C9D05E6E0CC}"/>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BC86871-DA54-46FC-99F3-FAF7B514DA41}"/>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8D8C894C-78EA-4D11-8194-C42117C2D5D2}"/>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048724C-A8FF-438C-9631-165731A6E1F7}"/>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A6382A3-F8C0-4C90-B5FA-37844B51EBA6}"/>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D6A16A4-7B6D-493C-AD10-87CF5745BB40}"/>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661EE71-CFC6-48F9-84AA-5A447E2619EC}"/>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5B5B1DB-BFE0-4C7A-B3D0-8CE75D3DB42A}"/>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D968AEB-0E9C-470A-BB67-47D7CB7DF832}"/>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50B0A37-AE5A-46D4-B085-6610D4A1095E}"/>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C9C8092-F333-43C3-AC20-03C27DD39C21}"/>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FA87F23-59F5-4136-BC08-6418B7BC3752}"/>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49AE0CA-BB04-46A1-AC1C-88D4C758FEA3}"/>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961EC14-22CB-44F3-810E-7CCE51740702}"/>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58E28AC-6A59-4FA0-8E4E-06AD9F6AB79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205523-AF34-4BD8-8381-9674A4C2F7DF}"/>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1E50CD-BEE1-44E5-84DA-489C6D195359}"/>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C36B93F-810A-4F12-B730-7E5997129A64}"/>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724C9D4-271C-4B97-A21F-6CCA26121F82}"/>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E54C0F7-D920-45F0-A0EF-F3820D415C97}"/>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34BDE78-6122-4EA2-BFA1-9DC685E9F77B}"/>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ECDC08A-971B-4E9A-9582-FFD487941EC1}"/>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7129D53-984F-456A-B006-410E4F9E86CB}"/>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2652A9A-85BA-47D5-9922-074ECE547E1D}"/>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CF7218B-1FD3-44C7-859D-04287E95FA4E}"/>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5EEFECF-BE75-4A60-AE69-C9FA671466B0}"/>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4230C04-24DB-47BB-8DA7-D48763663EEB}"/>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DF2226C-9E87-4E5D-8995-BEF951F0D1B6}"/>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7E48798-62F0-4D08-A3CC-EF757E9B8FE1}"/>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078F05D-A208-4952-9928-D18641A54201}"/>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4E97402-5019-48D8-B77D-2D02978810F1}"/>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34FB0EA-B735-483E-BFC9-B1E0AEDE6597}"/>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420CE05-1177-447F-975F-FB93D172BE51}"/>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B9349AF-036A-49B2-B04B-C3F49DA77ADC}"/>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E74D2DC-92F8-4EE2-AB71-AC678F91E016}"/>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EB510B4-6EA0-400A-B262-2CF67B01392E}"/>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4D61B74-C46B-4C1D-953C-748C47365DA7}"/>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FFB6ABB-F72A-4AEA-9763-7903E4450322}"/>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11807C6-D0F6-4294-9BA3-1431F3D3870B}"/>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1213992-CAD8-45D5-8791-80BBC509691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BA7589-B37F-4BE4-8F8E-05FB5AE8EF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C5DDE8-0A4A-4CD5-92C7-70D930F9368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B41DBAB-7156-4AA9-AC75-F3FA528AEE7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9955692-3062-4043-88B3-26C73304D3B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11E64AE-2290-4534-947B-4BC3412B3EE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69DFAC6A-8734-4BD7-9987-210B5FFEAB66}"/>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C90329C-6477-4E0B-A73D-8CC576586CE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38C18A1-CB08-49AD-8AC9-FBA1890EBD7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FF4505D-F2B4-452B-8CFD-30CE60E50199}"/>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55E24A8-8238-4422-87FA-DD754F8E5CD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2BC9AE32-0EAE-4E02-B46D-CE72BF9596D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32B4BB9-B711-4378-9B35-A3A4C7531EC6}"/>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9615536-DDF4-4358-843A-2DFA73D8DEB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A74D17F-3ED2-405D-B16F-80367F26071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0E80D49-AD01-4022-B747-BA2D92888693}"/>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AB5FC1E-86BF-4F6C-A56D-CE2C006F110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7AC26C6-6CF9-4705-B10B-F12CA8C01E9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BB64DF8-4AAE-4236-99FD-49FE40AE873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BAC1402-17C3-494F-9FBC-A3ACC963E3A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81A25AD-0459-4CFF-A516-C0482D35C46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52E5A3C-A6B3-4A7E-BD9C-38243208710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8298BED-0457-4D6F-8833-EACDEC35255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CD14A06-D7D3-4448-A416-07F07C29B5B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A9CC13F-5593-42A0-8977-C35ABCE7F922}"/>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B53329C-DA6E-4D59-B969-B171B1D4866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D7638F-C9D0-4E5B-B45D-F38D2B09F2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89EB2E-6C5D-4267-9C30-DDA5688CF7B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6C9C49F-02DE-4CA2-84BD-B7B64677464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6A9FD3-92E3-47DB-A0FC-390AC089204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3F51D38-8762-4477-A1E5-C2CEF34EA5B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5119DA1-F829-4975-9095-F3AB7822D741}"/>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C0D07D3-D03D-4E7E-8996-BF30BFA5973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6B08ABF-085D-4DE7-A176-FEEC88C2F4A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102C1E4-1F46-45F7-AE08-9594073C41C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7922F37-C36D-4EFD-B55C-44460129B6F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BA34B7E-1150-4240-A019-3666248F22F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E326E4B-07BC-4064-B599-69B2325AE01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298F38F-FFA2-4277-AF71-8D5FDFEA922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41F0386-7F03-4DF7-A31A-1B398E81BEA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DE614F1-5A3B-4DDB-B0B1-4FC5A74DE1C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652A973-8E23-484D-BD52-48DF169C161D}"/>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D8ACFAB-25D8-4D81-9B42-E27B477BE37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C110407-7483-4D5D-93C7-A8A8B48BE06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74D58A0-AF8E-4B84-8B7A-9BF241C1F5B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9953098-8D35-4E12-B787-DA00984FC56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692DD29-E21A-4CAD-8A9C-AA8A49FB9A06}"/>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67250CD-DA1F-4063-9FF7-DA9BA85544E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A134E5E-E43F-4E38-A41B-56FB941AF2BF}"/>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5236AB3-C29C-40AE-90C1-BDC3F3621D4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0EA636D-4852-4F9B-AA59-CB843EA29CD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765F07-AE57-40EA-BB4C-F60B22B186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3600D7-B8F9-44C6-996B-4A535EECDAE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F22189B-FDB6-42B1-B419-CC37240C5F7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4386F24-3E02-460A-A930-536A9D6EC2D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1520362-3933-4376-A589-96C31B60381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23676F2-A986-4903-B0A3-D49FB5DE2593}"/>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68A49C7-02FD-4CF2-B8F9-354297F0BDD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43E57D2-76FD-4FCE-B5A8-0DACF01079D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A045222-9D68-4773-A7D9-6A60456469B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03B2D3A-47DE-42AB-A58D-4ED53EA5411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2E231F2-8F4F-4842-8AA3-52B751D3C9C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620892A-1A24-4473-B5DD-2856202C253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0D996AF-2F41-484F-8084-AA9287B3D8E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4732169-B469-4F48-A63E-C24A7171E96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DD1C69C-5DDC-449E-A23E-6A1165FC5B9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01A00DA-D937-43DF-BC1C-0DB9B35B1AD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C89C954-DAF3-4216-956E-5273C197DCA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855F13E-0A81-4205-BF3C-F2DC8D1A1BE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413A349F-961A-42E6-B354-AF999FBB8D0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321513C-450D-4EA2-A7C5-493D660D02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50E2462-1AE4-4AA6-A444-81B1F6FE13A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954A206-C7CA-49B8-AC4A-67ADEF25377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DA280A8-3A7D-4876-A8C0-C3539FC9DF4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BB853AA-5475-4A9F-9C76-7B948EF3544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B0C5BB9-189B-4162-91C9-3F8D4534B89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0EA7E8-2416-4760-96A6-ECE58938A5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60DAC3-D80D-4279-A824-FD2E0D06D10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E6652B5-EC65-4002-8061-422FD4E6F10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DAA63AF-1B1B-4E71-B811-07167C8B95C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55CE3F0-22C4-4D30-A1D3-E40517AECAB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28BA48C-4FB8-4D02-9C88-DC67EEED8E7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69D657A-26F7-4666-8D87-D89AD9B8A6E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3F7C0D9-C9BF-454F-B389-5C78DE68C7E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407852C-12D5-4656-A503-0BEE855AC95A}"/>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86ABA4F-1D71-46ED-B472-7FF6B56BF25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D12C292-757E-4165-B91F-976A2725800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5857452-2ECB-4D4F-950B-1CD6C502CF0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48EB24D-6FF6-49E2-98D0-6D86BC81C06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6E041E2-B869-40F1-91FB-1563ED70E397}"/>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53D01C0-A41E-46A8-886C-D6A7B2230B8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ABB4DF93-33C7-4C37-A4AF-96E505FF154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2570DC0-C9A7-4A83-A349-0A067ABD300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7D527D2-FD65-4385-8835-597E7C629BA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5EADBC9-14E5-441B-8AC0-3C0EB12204B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AB94DC7-1C30-415C-B63C-BF8DF53C0E2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17C4CD3-C36A-4C92-9CA4-9DA6F153258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14C8C05-3290-4F13-A282-4CB01B51CB3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83181B8-731E-41C6-AE5A-378D9A98B91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0654628-403F-4B85-8126-7E082CF4CAC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6A56ACF-8763-4D1E-8249-35DAF25A997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9B3E10-5718-4406-82F2-4C50AABB9A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E191D2-ED48-4764-919B-DE742DD206E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B49B12B-8783-4619-ADF8-E42AC358C337}"/>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D37F0BB-2442-4F9A-B6E2-88DE202C71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66B5402-54EF-4891-8A3A-21D1BE99E8B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41BAF78-A768-4729-A719-3C31B39B449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C1E28D2-BC04-40B2-894E-F463C550F20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18A13E9-0FC0-4AC8-BFBE-70FB5FE1B45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9B38DAD-78A4-411A-BFB3-0430033BC02A}"/>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7D7CDF5-BE18-40C6-888E-37332EC72AC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325CD22-9A34-45CF-A26E-4F45C1D8206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864D93C-999C-4BEC-9776-58DFE1E7A7A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79B2371-CE86-4D01-9C4B-AF72310898B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AF9322F-A8B7-4658-8E62-4E49C3EF890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62D1889-09AE-452B-A688-CC3359D275A6}"/>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7881C71-C526-4B26-B9F6-B78D5183586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8EE0CAE-7635-4D1D-ACE1-7A7F8E703EF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B2CA4B5-8166-48CA-965D-CCA129E80C2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4A96A73D-2AFE-4082-911D-2518405C4F7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38D1B4B-ECCD-4CFC-90D5-8A508709A90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DB60DB4-67A2-4655-B13A-2A17A664062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33E3A34-0682-434D-B863-44A12C8D03F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F00C3FD-6028-4402-B60A-9E5D1DEE3F2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D9F8003-ED50-4B72-8116-7083BE1DAF7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19979;&#27700;&#36947;&#20107;&#26989;&#12539;&#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19979;&#27700;&#36947;&#20107;&#26989;&#12539;&#23567;&#35215;&#2716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19979;&#27700;&#36947;&#20107;&#26989;&#12539;&#29305;&#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19979;&#27700;&#36947;&#20107;&#26989;&#12539;&#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19979;&#27700;&#36947;&#20107;&#26989;&#12539;&#26519;&#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0171;&#35703;/&#20462;&#27491;03+&#35519;&#26619;&#31080;&#65288;R2&#25244;&#26412;&#25913;&#38761;&#35519;&#26619;&#65289;&#12304;&#26862;&#12398;&#23478;&#12288;&#24066;&#21942;&#20171;&#35703;&#29305;&#20250;&#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0171;&#35703;/&#20462;&#27491;&#25351;&#23450;&#20171;&#35703;03+&#35519;&#26619;&#31080;&#65288;R2&#25244;&#26412;&#25913;&#38761;&#35519;&#26619;&#65289;&#12304;&#30333;&#23551;&#22290;&#12288;&#24066;&#21942;&#20171;&#35703;&#29305;&#20250;&#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0171;&#35703;/&#20462;&#27491;&#32769;&#20154;&#30701;&#26399;03+&#35519;&#26619;&#31080;&#65288;R2&#25244;&#26412;&#25913;&#38761;&#35519;&#26619;&#65289;&#12304;&#30333;&#23551;&#22290;&#12288;&#24066;&#21942;&#20171;&#35703;&#29305;&#20250;&#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0171;&#35703;/&#20462;&#27491;03+&#35519;&#26619;&#31080;&#65288;R2&#25244;&#26412;&#25913;&#38761;&#35519;&#26619;&#65289;&#12304;&#32769;&#20581;&#12362;&#12362;&#12418;&#12426;&#12288;&#24066;&#21942;&#20171;&#35703;&#29305;&#20250;&#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31777;&#26131;&#27700;&#36947;&#20107;&#2698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8201;&#27849;/03+&#35519;&#26619;&#31080;&#65288;R2&#25244;&#26412;&#25913;&#38761;&#35519;&#26619;&#65289;_&#28201;&#27849;&#29305;&#20250;&#2099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30149;&#38498;/03+&#35519;&#26619;&#31080;&#65288;R2&#25244;&#26412;&#25913;&#38761;&#35519;&#26619;&#12539;&#27178;&#25163;&#24066;&#30149;&#38498;&#20107;&#2698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3%20&#27178;&#25163;&#24066;&#9675;/&#27700;&#36947;/&#35519;&#26619;&#31080;&#65288;&#27178;&#25163;&#24066;&#1253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下水道事業</v>
          </cell>
          <cell r="W17" t="str">
            <v>公共下水道</v>
          </cell>
          <cell r="BD17" t="str">
            <v>×</v>
          </cell>
        </row>
        <row r="19">
          <cell r="F19" t="str">
            <v>ー</v>
          </cell>
        </row>
        <row r="43">
          <cell r="R43" t="str">
            <v>○</v>
          </cell>
          <cell r="AA43" t="str">
            <v>○</v>
          </cell>
        </row>
        <row r="45">
          <cell r="R45" t="str">
            <v>○</v>
          </cell>
          <cell r="X45" t="str">
            <v>○</v>
          </cell>
        </row>
        <row r="201">
          <cell r="B201" t="str">
            <v>汚水処理施設の統廃合（公共下水道を流域下水道に接続する。）</v>
          </cell>
        </row>
        <row r="232">
          <cell r="Y232" t="str">
            <v>○</v>
          </cell>
        </row>
        <row r="238">
          <cell r="B238" t="str">
            <v>令和</v>
          </cell>
          <cell r="E238">
            <v>5</v>
          </cell>
        </row>
        <row r="239">
          <cell r="E239">
            <v>3</v>
          </cell>
        </row>
        <row r="240">
          <cell r="E240">
            <v>31</v>
          </cell>
        </row>
        <row r="314">
          <cell r="B314" t="str">
            <v>上下水道料金等関連業務について、事業提案型プロポーザル方式により委託者を選定し、委託契約を締結した。（期間５年）</v>
          </cell>
        </row>
        <row r="320">
          <cell r="B320" t="str">
            <v>窓口業務、検針調定業務、収納業務、還付業務、滞納整理業務、電算処理業務（料金システムを含む）、メーター交換業務、その他付帯業務　</v>
          </cell>
        </row>
        <row r="326">
          <cell r="B326" t="str">
            <v>平成</v>
          </cell>
          <cell r="E326">
            <v>22</v>
          </cell>
        </row>
        <row r="327">
          <cell r="E327">
            <v>11</v>
          </cell>
        </row>
        <row r="328">
          <cell r="E328">
            <v>30</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下水道事業</v>
          </cell>
          <cell r="W17" t="str">
            <v>小規模集合排水施設</v>
          </cell>
          <cell r="BD17" t="str">
            <v>×</v>
          </cell>
        </row>
        <row r="19">
          <cell r="F19" t="str">
            <v>ー</v>
          </cell>
        </row>
        <row r="45">
          <cell r="R45" t="str">
            <v>○</v>
          </cell>
          <cell r="X45" t="str">
            <v>○</v>
          </cell>
        </row>
        <row r="238">
          <cell r="B238" t="str">
            <v>令和</v>
          </cell>
        </row>
        <row r="314">
          <cell r="B314" t="str">
            <v>上下水道料金等関連業務について、事業提案型プロポーザル方式により委託者を選定し、委託契約を締結した。（期間５年）</v>
          </cell>
        </row>
        <row r="320">
          <cell r="B320" t="str">
            <v>窓口業務、検針調定業務、収納業務、還付業務、滞納整理業務、電算処理業務（料金システムを含む）、メーター交換業務、その他付帯業務　</v>
          </cell>
        </row>
        <row r="326">
          <cell r="B326" t="str">
            <v>平成</v>
          </cell>
          <cell r="E326">
            <v>22</v>
          </cell>
        </row>
        <row r="327">
          <cell r="E327">
            <v>11</v>
          </cell>
        </row>
        <row r="328">
          <cell r="E328">
            <v>30</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下水道事業</v>
          </cell>
          <cell r="W17" t="str">
            <v>特定地域排水処理施設</v>
          </cell>
          <cell r="BD17" t="str">
            <v>×</v>
          </cell>
        </row>
        <row r="19">
          <cell r="F19" t="str">
            <v>ー</v>
          </cell>
        </row>
        <row r="41">
          <cell r="R41" t="str">
            <v>○</v>
          </cell>
          <cell r="AD41" t="str">
            <v>○</v>
          </cell>
        </row>
        <row r="45">
          <cell r="R45" t="str">
            <v>○</v>
          </cell>
          <cell r="X45" t="str">
            <v>○</v>
          </cell>
        </row>
        <row r="96">
          <cell r="B96" t="str">
            <v>設置後15年を経過した浄化槽を個人に譲与する。</v>
          </cell>
        </row>
        <row r="101">
          <cell r="B101" t="str">
            <v>意向確認のアンケート調査を行っているが、譲与を希望せず市での管理（事業継続）を希望している利用者が相当数いる。譲与後の適正な維持管理をどのように担保するか、譲与による使用料収入の減少が収支へ及ぼす影響をどうするか、といったことが課題となっている。</v>
          </cell>
        </row>
        <row r="238">
          <cell r="B238" t="str">
            <v>令和</v>
          </cell>
        </row>
        <row r="314">
          <cell r="B314" t="str">
            <v>上下水道料金等関連業務について、事業提案型プロポーザル方式により委託者を選定し、委託契約を締結した。（期間５年）</v>
          </cell>
        </row>
        <row r="320">
          <cell r="B320" t="str">
            <v>窓口業務、調定業務、収納業務、還付業務、滞納整理業務、電算処理業務（料金システムを含む）、その他付帯業務　</v>
          </cell>
        </row>
        <row r="326">
          <cell r="B326" t="str">
            <v>平成</v>
          </cell>
          <cell r="E326">
            <v>22</v>
          </cell>
        </row>
        <row r="327">
          <cell r="E327">
            <v>11</v>
          </cell>
        </row>
        <row r="328">
          <cell r="E328">
            <v>30</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下水道事業</v>
          </cell>
          <cell r="W17" t="str">
            <v>農業集落排水施設</v>
          </cell>
          <cell r="BD17" t="str">
            <v>×</v>
          </cell>
        </row>
        <row r="19">
          <cell r="F19" t="str">
            <v>ー</v>
          </cell>
        </row>
        <row r="43">
          <cell r="R43" t="str">
            <v>○</v>
          </cell>
          <cell r="AA43" t="str">
            <v>○</v>
          </cell>
        </row>
        <row r="45">
          <cell r="R45" t="str">
            <v>○</v>
          </cell>
          <cell r="X45" t="str">
            <v>○</v>
          </cell>
        </row>
        <row r="201">
          <cell r="B201" t="str">
            <v>汚水処理施設の統廃合（農業集落排水の3処理区を一つに統合する。）</v>
          </cell>
        </row>
        <row r="232">
          <cell r="Y232" t="str">
            <v>○</v>
          </cell>
        </row>
        <row r="238">
          <cell r="B238" t="str">
            <v>令和</v>
          </cell>
          <cell r="E238">
            <v>5</v>
          </cell>
        </row>
        <row r="239">
          <cell r="E239">
            <v>3</v>
          </cell>
        </row>
        <row r="240">
          <cell r="E240">
            <v>31</v>
          </cell>
        </row>
        <row r="314">
          <cell r="B314" t="str">
            <v>上下水道料金等関連業務について、事業提案型プロポーザル方式により委託者を選定し、委託契約を締結した。（期間５年）</v>
          </cell>
        </row>
        <row r="320">
          <cell r="B320" t="str">
            <v>窓口業務、検針調定業務、収納業務、還付業務、滞納整理業務、電算処理業務（料金システムを含む）、メーター交換業務、その他付帯業務　</v>
          </cell>
        </row>
        <row r="326">
          <cell r="B326" t="str">
            <v>平成</v>
          </cell>
          <cell r="E326">
            <v>22</v>
          </cell>
        </row>
        <row r="327">
          <cell r="E327">
            <v>11</v>
          </cell>
        </row>
        <row r="328">
          <cell r="E328">
            <v>30</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下水道事業</v>
          </cell>
          <cell r="W17" t="str">
            <v>林業集落排水施設</v>
          </cell>
          <cell r="BD17" t="str">
            <v>×</v>
          </cell>
        </row>
        <row r="19">
          <cell r="F19" t="str">
            <v>ー</v>
          </cell>
        </row>
        <row r="45">
          <cell r="R45" t="str">
            <v>○</v>
          </cell>
          <cell r="X45" t="str">
            <v>○</v>
          </cell>
        </row>
        <row r="238">
          <cell r="B238" t="str">
            <v>令和</v>
          </cell>
        </row>
        <row r="314">
          <cell r="B314" t="str">
            <v>上下水道料金等関連業務について、事業提案型プロポーザル方式により委託者を選定し、委託契約を締結した。（期間５年）</v>
          </cell>
        </row>
        <row r="320">
          <cell r="B320" t="str">
            <v>窓口業務、検針調定業務、収納業務、還付業務、滞納整理業務、電算処理業務（料金システムを含む）、メーター交換業務、その他付帯業務　</v>
          </cell>
        </row>
        <row r="326">
          <cell r="B326" t="str">
            <v>平成</v>
          </cell>
          <cell r="E326">
            <v>22</v>
          </cell>
        </row>
        <row r="327">
          <cell r="E327">
            <v>11</v>
          </cell>
        </row>
        <row r="328">
          <cell r="E328">
            <v>30</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介護サービス事業</v>
          </cell>
          <cell r="W17" t="str">
            <v>老人デイサービスセンター</v>
          </cell>
          <cell r="BD17" t="str">
            <v>○</v>
          </cell>
        </row>
        <row r="19">
          <cell r="F19" t="str">
            <v>市営介護サービス事業特別会計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現行の経営体制・手法で、健全な事業運営が実施できている為である。
ただし、民間事業の経営手法やコスト比較など調査・研究を行い、事務及び事業の効率化と簡素に努めながら事業を実施する。また、指定管理制度の導入や施設及び事業の譲渡、一部業務の民間委託も検討し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介護サービス事業</v>
          </cell>
          <cell r="W17" t="str">
            <v>指定介護老人福祉施設</v>
          </cell>
          <cell r="BD17" t="str">
            <v>○</v>
          </cell>
        </row>
        <row r="19">
          <cell r="F19" t="str">
            <v>市営介護サービス事業特別会計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抜本的な改革の方向性について検討の前段階にある。
また、市直営施設としての運営にあたり、民間事業所では受け入れ困難なケース及び、多様化する住民ニーズに応えながら、迅速かつ公平なサービス提供を継続する必要がある。
今後は、事務及び事業の効率化と簡素化を考慮した事業展開を行っていく。介護職の人材不足により、近い将来指定管理制度の導入や一部業務の民間委託も視野に検討していく。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介護サービス事業</v>
          </cell>
          <cell r="W17" t="str">
            <v>老人短期入所施設</v>
          </cell>
          <cell r="BD17" t="str">
            <v>○</v>
          </cell>
        </row>
        <row r="19">
          <cell r="F19" t="str">
            <v>市営介護サービス事業特別会計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抜本的な改革の方向性について検討の前段階にある。
また、市直営施設としての運営にあたり、民間事業所では受け入れ困難なケース及び、多様化する住民ニーズに応えながら、迅速かつ公平なサービス提供を継続する必要がある。
今後は、事務及び事業の効率化と簡素化を考慮した事業展開を行っていく。介護職の人材不足により、近い将来指定管理制度の導入や一部業務の民間委託も視野に検討していく。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介護サービス事業</v>
          </cell>
          <cell r="W17" t="str">
            <v>介護老人保健施設</v>
          </cell>
          <cell r="BD17" t="str">
            <v>○</v>
          </cell>
        </row>
        <row r="19">
          <cell r="F19" t="str">
            <v>市営介護サービス事業特別会計</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現行の経営体制・手法で、健全な事業運営が実施できている為である。
ただし、民間事業の経営手法やコスト比較など調査・研究を行い、事務及び事業の効率化と簡素に努めながら事業を実施する。
また、指定管理制度の導入や施設及び事業の譲渡、一部業務の民間委託も検討していく。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簡易水道事業</v>
          </cell>
          <cell r="W17" t="str">
            <v>―</v>
          </cell>
          <cell r="BD17" t="str">
            <v>×</v>
          </cell>
        </row>
        <row r="19">
          <cell r="F19" t="str">
            <v>ー</v>
          </cell>
        </row>
        <row r="41">
          <cell r="R41" t="str">
            <v>○</v>
          </cell>
          <cell r="X41" t="str">
            <v>○</v>
          </cell>
        </row>
        <row r="43">
          <cell r="R43" t="str">
            <v xml:space="preserve"> </v>
          </cell>
          <cell r="X43" t="str">
            <v xml:space="preserve"> </v>
          </cell>
        </row>
        <row r="45">
          <cell r="R45" t="str">
            <v xml:space="preserve"> </v>
          </cell>
          <cell r="X45" t="str">
            <v xml:space="preserve"> </v>
          </cell>
        </row>
        <row r="56">
          <cell r="B56" t="str">
            <v>20の法適簡易水道事業を廃止し、上水道事業に統合（認可）した。
今後は施設の統廃合により維持管理すべき施設数を削減し、維持管理の効率化を図る。</v>
          </cell>
        </row>
        <row r="62">
          <cell r="G62" t="str">
            <v>○</v>
          </cell>
          <cell r="S62" t="str">
            <v>平成</v>
          </cell>
          <cell r="V62">
            <v>29</v>
          </cell>
        </row>
        <row r="63">
          <cell r="V63">
            <v>4</v>
          </cell>
        </row>
        <row r="64">
          <cell r="V64">
            <v>1</v>
          </cell>
        </row>
        <row r="69">
          <cell r="AG69"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観光施設事業</v>
          </cell>
          <cell r="W17" t="str">
            <v>休養宿泊</v>
          </cell>
          <cell r="BD17" t="str">
            <v>○</v>
          </cell>
        </row>
        <row r="19">
          <cell r="F19" t="str">
            <v>ー</v>
          </cell>
        </row>
        <row r="42">
          <cell r="R42" t="str">
            <v>○</v>
          </cell>
          <cell r="AD42" t="str">
            <v>○</v>
          </cell>
        </row>
        <row r="137">
          <cell r="B137" t="str">
            <v>平成29年度に市営温泉6施設の譲渡について公募形式で譲渡先を募り、平成30年度に6施設のうち3施設を民間企業に譲渡。民間譲渡とならなかった3施設についても民間譲渡の取組を推進する。
効果については、民間譲渡した3施設への一般会計繰入金63,131,000円（Ｈ29年度決算額）が削減。</v>
          </cell>
        </row>
        <row r="143">
          <cell r="B143" t="str">
            <v>新型コロナウイルスの影響もあり、民間であっても温泉経営を維持していくことは厳しい状況となっている。そのため、現在保有する３施設を譲渡し、経営できる民間企業があるかが課題。</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病院事業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現行の経営体制・手法で、健全な事業運営が実施できており、今後も現行の経営形態（地方公営企業法全部適用）のメリットを最大限に生かして、健全な事業運営が実施できると見込んでいるため。</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横手市</v>
          </cell>
        </row>
        <row r="17">
          <cell r="F17" t="str">
            <v>水道事業</v>
          </cell>
          <cell r="W17" t="str">
            <v>―</v>
          </cell>
          <cell r="BD17" t="str">
            <v>×</v>
          </cell>
        </row>
        <row r="19">
          <cell r="F19" t="str">
            <v>ー</v>
          </cell>
        </row>
        <row r="45">
          <cell r="R45" t="str">
            <v>○</v>
          </cell>
          <cell r="X45" t="str">
            <v>○</v>
          </cell>
        </row>
        <row r="162">
          <cell r="J162" t="str">
            <v xml:space="preserve"> </v>
          </cell>
        </row>
        <row r="181">
          <cell r="Y181" t="str">
            <v xml:space="preserve"> </v>
          </cell>
        </row>
        <row r="191">
          <cell r="E191" t="str">
            <v xml:space="preserve"> </v>
          </cell>
        </row>
        <row r="192">
          <cell r="E192" t="str">
            <v xml:space="preserve"> </v>
          </cell>
        </row>
        <row r="314">
          <cell r="B314" t="str">
            <v>上下水道料金等関連業務について、事業提案型プロポーザル方式により委託者を選定し、委託契約を締結した。（期間５年）</v>
          </cell>
        </row>
        <row r="320">
          <cell r="B320" t="str">
            <v>窓口業務、開閉栓業務、検針調定業務、収納業務、還付業務、滞納整理業務、給水停止業務、電算処理業務（料金システムを含む）、メーター交換業務、その他付帯業務　</v>
          </cell>
        </row>
        <row r="326">
          <cell r="B326" t="str">
            <v>平成</v>
          </cell>
          <cell r="E326">
            <v>22</v>
          </cell>
        </row>
        <row r="327">
          <cell r="E327">
            <v>11</v>
          </cell>
        </row>
        <row r="328">
          <cell r="E328">
            <v>30</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49BA0-DEA2-4FB3-B841-A4A803318960}">
  <sheetPr>
    <pageSetUpPr fitToPage="1"/>
  </sheetPr>
  <dimension ref="A1:CE298"/>
  <sheetViews>
    <sheetView showZeros="0" tabSelected="1" zoomScale="55" zoomScaleNormal="55" workbookViewId="0">
      <selection activeCell="W309" sqref="W309"/>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IF(COUNTIF([13]回答表!K15,"*")&gt;0,[13]回答表!K15,"")</f>
        <v>横手市</v>
      </c>
      <c r="D11" s="246"/>
      <c r="E11" s="246"/>
      <c r="F11" s="246"/>
      <c r="G11" s="246"/>
      <c r="H11" s="246"/>
      <c r="I11" s="246"/>
      <c r="J11" s="246"/>
      <c r="K11" s="246"/>
      <c r="L11" s="246"/>
      <c r="M11" s="246"/>
      <c r="N11" s="246"/>
      <c r="O11" s="246"/>
      <c r="P11" s="246"/>
      <c r="Q11" s="246"/>
      <c r="R11" s="246"/>
      <c r="S11" s="246"/>
      <c r="T11" s="246"/>
      <c r="U11" s="253" t="str">
        <f>IF(COUNTIF([13]回答表!F17,"*")&gt;0,[13]回答表!F17,"")</f>
        <v>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IF(COUNTIF([13]回答表!W17,"*")&gt;0,[13]回答表!W17,"")</f>
        <v>―</v>
      </c>
      <c r="AP11" s="248"/>
      <c r="AQ11" s="248"/>
      <c r="AR11" s="248"/>
      <c r="AS11" s="248"/>
      <c r="AT11" s="248"/>
      <c r="AU11" s="248"/>
      <c r="AV11" s="248"/>
      <c r="AW11" s="248"/>
      <c r="AX11" s="248"/>
      <c r="AY11" s="248"/>
      <c r="AZ11" s="248"/>
      <c r="BA11" s="248"/>
      <c r="BB11" s="248"/>
      <c r="BC11" s="248"/>
      <c r="BD11" s="248"/>
      <c r="BE11" s="249"/>
      <c r="BF11" s="252" t="str">
        <f>IF(COUNTIF([13]回答表!F19,"*")&gt;0,[13]回答表!F19,"")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IF([13]回答表!R41="○","○","")</f>
        <v/>
      </c>
      <c r="E24" s="122"/>
      <c r="F24" s="122"/>
      <c r="G24" s="122"/>
      <c r="H24" s="122"/>
      <c r="I24" s="122"/>
      <c r="J24" s="123"/>
      <c r="K24" s="121" t="str">
        <f>IF([13]回答表!R42="○","○","")</f>
        <v/>
      </c>
      <c r="L24" s="122"/>
      <c r="M24" s="122"/>
      <c r="N24" s="122"/>
      <c r="O24" s="122"/>
      <c r="P24" s="122"/>
      <c r="Q24" s="123"/>
      <c r="R24" s="121" t="str">
        <f>IF([13]回答表!R43="○","○","")</f>
        <v/>
      </c>
      <c r="S24" s="122"/>
      <c r="T24" s="122"/>
      <c r="U24" s="122"/>
      <c r="V24" s="122"/>
      <c r="W24" s="122"/>
      <c r="X24" s="123"/>
      <c r="Y24" s="121" t="str">
        <f>IF([13]回答表!R44="○","○","")</f>
        <v/>
      </c>
      <c r="Z24" s="122"/>
      <c r="AA24" s="122"/>
      <c r="AB24" s="122"/>
      <c r="AC24" s="122"/>
      <c r="AD24" s="122"/>
      <c r="AE24" s="123"/>
      <c r="AF24" s="121" t="str">
        <f>IF([13]回答表!R45="○","○","")</f>
        <v>○</v>
      </c>
      <c r="AG24" s="122"/>
      <c r="AH24" s="122"/>
      <c r="AI24" s="122"/>
      <c r="AJ24" s="122"/>
      <c r="AK24" s="122"/>
      <c r="AL24" s="123"/>
      <c r="AM24" s="121" t="str">
        <f>IF([13]回答表!R46="○","○","")</f>
        <v/>
      </c>
      <c r="AN24" s="122"/>
      <c r="AO24" s="122"/>
      <c r="AP24" s="122"/>
      <c r="AQ24" s="122"/>
      <c r="AR24" s="122"/>
      <c r="AS24" s="123"/>
      <c r="AT24" s="121" t="str">
        <f>IF([13]回答表!R47="○","○","")</f>
        <v/>
      </c>
      <c r="AU24" s="122"/>
      <c r="AV24" s="122"/>
      <c r="AW24" s="122"/>
      <c r="AX24" s="122"/>
      <c r="AY24" s="122"/>
      <c r="AZ24" s="123"/>
      <c r="BA24" s="19"/>
      <c r="BB24" s="118" t="str">
        <f>IF([13]回答表!R48="○","○","")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IF([13]回答表!X41="○","○","")</f>
        <v/>
      </c>
      <c r="O36" s="98"/>
      <c r="P36" s="98"/>
      <c r="Q36" s="99"/>
      <c r="R36" s="39"/>
      <c r="S36" s="39"/>
      <c r="T36" s="39"/>
      <c r="U36" s="106" t="str">
        <f>IF([13]回答表!X41="○",[13]回答表!B56,IF([13]回答表!AA41="○",[13]回答表!B76,""))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IF([13]回答表!X41="○",[13]回答表!S62,IF([13]回答表!AA41="○",[13]回答表!S82,""))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IF([13]回答表!X41="○",[13]回答表!G62,IF([13]回答表!AA41="○",[13]回答表!G82,""))</f>
        <v/>
      </c>
      <c r="AN38" s="119"/>
      <c r="AO38" s="119"/>
      <c r="AP38" s="119"/>
      <c r="AQ38" s="119"/>
      <c r="AR38" s="119"/>
      <c r="AS38" s="119"/>
      <c r="AT38" s="120"/>
      <c r="AU38" s="118" t="str">
        <f>IF([13]回答表!X41="○",[13]回答表!G63,IF([13]回答表!AA41="○",[13]回答表!G83,""))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IF([13]回答表!X41="○",[13]回答表!V62,IF([13]回答表!AA41="○",[13]回答表!V82,""))</f>
        <v/>
      </c>
      <c r="BF39" s="199"/>
      <c r="BG39" s="199"/>
      <c r="BH39" s="200"/>
      <c r="BI39" s="82" t="str">
        <f>IF([13]回答表!X41="○",[13]回答表!V63,IF([13]回答表!AA41="○",[13]回答表!V83,""))</f>
        <v/>
      </c>
      <c r="BJ39" s="199"/>
      <c r="BK39" s="199"/>
      <c r="BL39" s="200"/>
      <c r="BM39" s="82" t="str">
        <f>IF([13]回答表!X41="○",[13]回答表!V64,IF([13]回答表!AA41="○",[13]回答表!V84,""))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IF([13]回答表!X41="○",[13]回答表!O68,IF([13]回答表!AA41="○",[13]回答表!O88,""))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IF([13]回答表!X41="○",[13]回答表!O69,IF([13]回答表!AA41="○",[13]回答表!O89,""))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IF([13]回答表!AA41="○","○","")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IF([13]回答表!X41="○",[13]回答表!O70,IF([13]回答表!AA41="○",[13]回答表!O90,""))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IF([13]回答表!X41="○",[13]回答表!O71,IF([13]回答表!AA41="○",[13]回答表!O91,""))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IF([13]回答表!X41="○",[13]回答表!AG68,IF([13]回答表!AA41="○",[13]回答表!AG88,""))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IF([13]回答表!X41="○",[13]回答表!AG69,IF([13]回答表!AA41="○",[13]回答表!AG89,""))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IF([13]回答表!X41="○",[13]回答表!AG70,IF([13]回答表!AA41="○",[13]回答表!AG90,""))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IF([13]回答表!AD41="○","○","")</f>
        <v/>
      </c>
      <c r="O52" s="98"/>
      <c r="P52" s="98"/>
      <c r="Q52" s="99"/>
      <c r="R52" s="39"/>
      <c r="S52" s="39"/>
      <c r="T52" s="39"/>
      <c r="U52" s="106" t="str">
        <f>IF([13]回答表!AD41="○",[13]回答表!B96,"")</f>
        <v/>
      </c>
      <c r="V52" s="107"/>
      <c r="W52" s="107"/>
      <c r="X52" s="107"/>
      <c r="Y52" s="107"/>
      <c r="Z52" s="107"/>
      <c r="AA52" s="107"/>
      <c r="AB52" s="107"/>
      <c r="AC52" s="107"/>
      <c r="AD52" s="107"/>
      <c r="AE52" s="107"/>
      <c r="AF52" s="107"/>
      <c r="AG52" s="107"/>
      <c r="AH52" s="107"/>
      <c r="AI52" s="107"/>
      <c r="AJ52" s="108"/>
      <c r="AK52" s="56"/>
      <c r="AL52" s="56"/>
      <c r="AM52" s="106" t="str">
        <f>IF([13]回答表!AD41="○",[13]回答表!B101,"")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IF([13]回答表!X42="○","○","")</f>
        <v/>
      </c>
      <c r="O63" s="98"/>
      <c r="P63" s="98"/>
      <c r="Q63" s="99"/>
      <c r="R63" s="39"/>
      <c r="S63" s="39"/>
      <c r="T63" s="39"/>
      <c r="U63" s="106" t="str">
        <f>IF([13]回答表!X42="○",[13]回答表!B111,IF([13]回答表!AA42="○",[13]回答表!B124,""))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IF([13]回答表!X42="○",[13]回答表!S117,IF([13]回答表!AA42="○",[13]回答表!S130,""))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IF([13]回答表!X42="○",[13]回答表!J117,IF([13]回答表!AA42="○",[13]回答表!J130,""))</f>
        <v/>
      </c>
      <c r="AN66" s="119"/>
      <c r="AO66" s="119"/>
      <c r="AP66" s="119"/>
      <c r="AQ66" s="119"/>
      <c r="AR66" s="119"/>
      <c r="AS66" s="119"/>
      <c r="AT66" s="120"/>
      <c r="AU66" s="118" t="str">
        <f>IF([13]回答表!X42="○",[13]回答表!J118,IF([13]回答表!AA42="○",[13]回答表!J131,""))</f>
        <v/>
      </c>
      <c r="AV66" s="119"/>
      <c r="AW66" s="119"/>
      <c r="AX66" s="119"/>
      <c r="AY66" s="119"/>
      <c r="AZ66" s="119"/>
      <c r="BA66" s="119"/>
      <c r="BB66" s="120"/>
      <c r="BC66" s="40"/>
      <c r="BD66" s="35"/>
      <c r="BE66" s="82" t="str">
        <f>IF([13]回答表!X42="○",[13]回答表!V117,IF([13]回答表!AA42="○",[13]回答表!V130,""))</f>
        <v/>
      </c>
      <c r="BF66" s="83"/>
      <c r="BG66" s="83"/>
      <c r="BH66" s="83"/>
      <c r="BI66" s="82" t="str">
        <f>IF([13]回答表!X42="○",[13]回答表!V118,IF([13]回答表!AA42="○",[13]回答表!V131,""))</f>
        <v/>
      </c>
      <c r="BJ66" s="83"/>
      <c r="BK66" s="83"/>
      <c r="BL66" s="83"/>
      <c r="BM66" s="82" t="str">
        <f>IF([13]回答表!X42="○",[13]回答表!V119,IF([13]回答表!AA42="○",[13]回答表!V132,""))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IF([13]回答表!AA42="○","○","")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IF([13]回答表!AD42="○","○","")</f>
        <v/>
      </c>
      <c r="O75" s="98"/>
      <c r="P75" s="98"/>
      <c r="Q75" s="99"/>
      <c r="R75" s="39"/>
      <c r="S75" s="39"/>
      <c r="T75" s="39"/>
      <c r="U75" s="106" t="str">
        <f>IF([13]回答表!AD42="○",[13]回答表!B137,"")</f>
        <v/>
      </c>
      <c r="V75" s="107"/>
      <c r="W75" s="107"/>
      <c r="X75" s="107"/>
      <c r="Y75" s="107"/>
      <c r="Z75" s="107"/>
      <c r="AA75" s="107"/>
      <c r="AB75" s="107"/>
      <c r="AC75" s="107"/>
      <c r="AD75" s="107"/>
      <c r="AE75" s="107"/>
      <c r="AF75" s="107"/>
      <c r="AG75" s="107"/>
      <c r="AH75" s="107"/>
      <c r="AI75" s="107"/>
      <c r="AJ75" s="108"/>
      <c r="AK75" s="56"/>
      <c r="AL75" s="56"/>
      <c r="AM75" s="106" t="str">
        <f>IF([13]回答表!AD42="○",[13]回答表!B143,"")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IF([13]回答表!F17="水道事業",IF([13]回答表!X43="○","○",""),"")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IF([13]回答表!F17="水道事業",IF([13]回答表!X43="○",[13]回答表!B154,IF([13]回答表!AA43="○",[13]回答表!B201,"")),"")</f>
        <v/>
      </c>
      <c r="AN87" s="107"/>
      <c r="AO87" s="107"/>
      <c r="AP87" s="107"/>
      <c r="AQ87" s="107"/>
      <c r="AR87" s="107"/>
      <c r="AS87" s="107"/>
      <c r="AT87" s="107"/>
      <c r="AU87" s="107"/>
      <c r="AV87" s="107"/>
      <c r="AW87" s="107"/>
      <c r="AX87" s="107"/>
      <c r="AY87" s="107"/>
      <c r="AZ87" s="107"/>
      <c r="BA87" s="107"/>
      <c r="BB87" s="108"/>
      <c r="BC87" s="40"/>
      <c r="BD87" s="35"/>
      <c r="BE87" s="115" t="str">
        <f>IF([13]回答表!F17="水道事業",IF([13]回答表!X43="○",[13]回答表!B190,IF([13]回答表!AA43="○",[13]回答表!B238,"")),"")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IF([13]回答表!F17="水道事業",IF([13]回答表!X43="○",[13]回答表!J162,IF([13]回答表!AA43="○",[13]回答表!J209,"")),"")</f>
        <v/>
      </c>
      <c r="V89" s="119"/>
      <c r="W89" s="119"/>
      <c r="X89" s="119"/>
      <c r="Y89" s="119"/>
      <c r="Z89" s="119"/>
      <c r="AA89" s="119"/>
      <c r="AB89" s="120"/>
      <c r="AC89" s="118" t="str">
        <f>IF([13]回答表!F17="水道事業",IF([13]回答表!X43="○",[13]回答表!J169,IF([13]回答表!AA43="○",[13]回答表!J216,"")),"")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IF([13]回答表!F17="水道事業",IF([13]回答表!X43="○",[13]回答表!E190,IF([13]回答表!AA43="○",[13]回答表!E238,"")),"")</f>
        <v/>
      </c>
      <c r="BF90" s="83"/>
      <c r="BG90" s="83"/>
      <c r="BH90" s="83"/>
      <c r="BI90" s="82" t="str">
        <f>IF([13]回答表!F17="水道事業",IF([13]回答表!X43="○",[13]回答表!E191,IF([13]回答表!AA43="○",[13]回答表!E239,"")),"")</f>
        <v/>
      </c>
      <c r="BJ90" s="83"/>
      <c r="BK90" s="83"/>
      <c r="BL90" s="83"/>
      <c r="BM90" s="82" t="str">
        <f>IF([13]回答表!F17="水道事業",IF([13]回答表!X43="○",[13]回答表!E192,IF([13]回答表!AA43="○",[13]回答表!E240,"")),"")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IF([13]回答表!F17="水道事業",IF([13]回答表!AA43="○","○",""),"")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IF([13]回答表!F17="水道事業",IF([13]回答表!X43="○",[13]回答表!J172,IF([13]回答表!AA43="○",[13]回答表!J219,"")),"")</f>
        <v/>
      </c>
      <c r="V94" s="119"/>
      <c r="W94" s="119"/>
      <c r="X94" s="119"/>
      <c r="Y94" s="119"/>
      <c r="Z94" s="119"/>
      <c r="AA94" s="119"/>
      <c r="AB94" s="120"/>
      <c r="AC94" s="118" t="str">
        <f>IF([13]回答表!F17="水道事業",IF([13]回答表!X43="○",[13]回答表!J176,IF([13]回答表!AA43="○",[13]回答表!J223,"")),"")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IF([13]回答表!F17="水道事業",IF([13]回答表!AD43="○","○",""),"")</f>
        <v/>
      </c>
      <c r="O99" s="98"/>
      <c r="P99" s="98"/>
      <c r="Q99" s="99"/>
      <c r="R99" s="39"/>
      <c r="S99" s="39"/>
      <c r="T99" s="39"/>
      <c r="U99" s="106" t="str">
        <f>IF([13]回答表!F17="水道事業",IF([13]回答表!AD43="○",[13]回答表!B249,""),"")</f>
        <v/>
      </c>
      <c r="V99" s="107"/>
      <c r="W99" s="107"/>
      <c r="X99" s="107"/>
      <c r="Y99" s="107"/>
      <c r="Z99" s="107"/>
      <c r="AA99" s="107"/>
      <c r="AB99" s="107"/>
      <c r="AC99" s="107"/>
      <c r="AD99" s="107"/>
      <c r="AE99" s="107"/>
      <c r="AF99" s="107"/>
      <c r="AG99" s="107"/>
      <c r="AH99" s="107"/>
      <c r="AI99" s="107"/>
      <c r="AJ99" s="108"/>
      <c r="AK99" s="56"/>
      <c r="AL99" s="56"/>
      <c r="AM99" s="106" t="str">
        <f>IF([13]回答表!F17="水道事業",IF([13]回答表!AD43="○",[13]回答表!B255,""),"")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IF([13]回答表!F17="簡易水道事業",IF([13]回答表!X43="○","○",""),"")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IF([13]回答表!F17="簡易水道事業",IF([13]回答表!X43="○",[13]回答表!B154,IF([13]回答表!AA43="○",[13]回答表!B201,"")),"")</f>
        <v/>
      </c>
      <c r="AN111" s="107"/>
      <c r="AO111" s="107"/>
      <c r="AP111" s="107"/>
      <c r="AQ111" s="107"/>
      <c r="AR111" s="107"/>
      <c r="AS111" s="107"/>
      <c r="AT111" s="107"/>
      <c r="AU111" s="107"/>
      <c r="AV111" s="107"/>
      <c r="AW111" s="107"/>
      <c r="AX111" s="107"/>
      <c r="AY111" s="107"/>
      <c r="AZ111" s="107"/>
      <c r="BA111" s="107"/>
      <c r="BB111" s="108"/>
      <c r="BC111" s="40"/>
      <c r="BD111" s="35"/>
      <c r="BE111" s="115" t="str">
        <f>IF([13]回答表!F17="簡易水道事業",IF([13]回答表!X43="○",[13]回答表!B190,IF([13]回答表!AA43="○",[13]回答表!B238,"")),"")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IF([13]回答表!F17="簡易水道事業",IF([13]回答表!X43="○",[13]回答表!Y181,IF([13]回答表!AA43="○",[13]回答表!Y229,"")),"")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IF([13]回答表!F17="簡易水道事業",IF([13]回答表!X43="○",[13]回答表!E190,IF([13]回答表!AA43="○",[13]回答表!E238,"")),"")</f>
        <v/>
      </c>
      <c r="BF114" s="83"/>
      <c r="BG114" s="83"/>
      <c r="BH114" s="83"/>
      <c r="BI114" s="82" t="str">
        <f>IF([13]回答表!F17="簡易水道事業",IF([13]回答表!X43="○",[13]回答表!E191,IF([13]回答表!AA43="○",[13]回答表!E239,"")),"")</f>
        <v/>
      </c>
      <c r="BJ114" s="83"/>
      <c r="BK114" s="83"/>
      <c r="BL114" s="83"/>
      <c r="BM114" s="82" t="str">
        <f>IF([13]回答表!F17="簡易水道事業",IF([13]回答表!X43="○",[13]回答表!E192,IF([13]回答表!AA43="○",[13]回答表!E240,"")),"")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IF([13]回答表!F17="簡易水道事業",IF([13]回答表!AA43="○","○",""),"")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IF([13]回答表!F17="簡易水道事業",IF([13]回答表!X43="○",[13]回答表!Y182,IF([13]回答表!AA43="○",[13]回答表!Y230,"")),"")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IF([13]回答表!F17="簡易水道事業",IF([13]回答表!AD43="○","○",""),"")</f>
        <v/>
      </c>
      <c r="O123" s="98"/>
      <c r="P123" s="98"/>
      <c r="Q123" s="99"/>
      <c r="R123" s="39"/>
      <c r="S123" s="39"/>
      <c r="T123" s="39"/>
      <c r="U123" s="106" t="str">
        <f>IF([13]回答表!F17="簡易水道事業",IF([13]回答表!AD43="○",[13]回答表!B249,""),"")</f>
        <v/>
      </c>
      <c r="V123" s="107"/>
      <c r="W123" s="107"/>
      <c r="X123" s="107"/>
      <c r="Y123" s="107"/>
      <c r="Z123" s="107"/>
      <c r="AA123" s="107"/>
      <c r="AB123" s="107"/>
      <c r="AC123" s="107"/>
      <c r="AD123" s="107"/>
      <c r="AE123" s="107"/>
      <c r="AF123" s="107"/>
      <c r="AG123" s="107"/>
      <c r="AH123" s="107"/>
      <c r="AI123" s="107"/>
      <c r="AJ123" s="108"/>
      <c r="AK123" s="56"/>
      <c r="AL123" s="56"/>
      <c r="AM123" s="106" t="str">
        <f>IF([13]回答表!F17="簡易水道事業",IF([13]回答表!AD43="○",[13]回答表!B255,""),"")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IF([13]回答表!F17="下水道事業",IF([13]回答表!X43="○","○",""),"")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IF([13]回答表!F17="下水道事業",IF([13]回答表!X43="○",[13]回答表!B154,IF([13]回答表!AA43="○",[13]回答表!B201,"")),"")</f>
        <v/>
      </c>
      <c r="AN135" s="107"/>
      <c r="AO135" s="107"/>
      <c r="AP135" s="107"/>
      <c r="AQ135" s="107"/>
      <c r="AR135" s="107"/>
      <c r="AS135" s="107"/>
      <c r="AT135" s="107"/>
      <c r="AU135" s="107"/>
      <c r="AV135" s="107"/>
      <c r="AW135" s="107"/>
      <c r="AX135" s="107"/>
      <c r="AY135" s="107"/>
      <c r="AZ135" s="107"/>
      <c r="BA135" s="107"/>
      <c r="BB135" s="108"/>
      <c r="BC135" s="40"/>
      <c r="BD135" s="35"/>
      <c r="BE135" s="115" t="str">
        <f>IF([13]回答表!F17="下水道事業",IF([13]回答表!X43="○",[13]回答表!B190,IF([13]回答表!AA43="○",[13]回答表!B238,"")),"")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IF([13]回答表!F17="下水道事業",IF([13]回答表!X43="○",[13]回答表!Y184,IF([13]回答表!AA43="○",[13]回答表!Y232,"")),"")</f>
        <v/>
      </c>
      <c r="V137" s="119"/>
      <c r="W137" s="119"/>
      <c r="X137" s="119"/>
      <c r="Y137" s="119"/>
      <c r="Z137" s="119"/>
      <c r="AA137" s="119"/>
      <c r="AB137" s="120"/>
      <c r="AC137" s="118" t="str">
        <f>IF([13]回答表!F17="下水道事業",IF([13]回答表!X43="○",[13]回答表!Y185,IF([13]回答表!AA43="○",[13]回答表!Y233,"")),"")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IF([13]回答表!F17="下水道事業",IF([13]回答表!X43="○",[13]回答表!E190,IF([13]回答表!AA43="○",[13]回答表!E238,"")),"")</f>
        <v/>
      </c>
      <c r="BF138" s="83"/>
      <c r="BG138" s="83"/>
      <c r="BH138" s="83"/>
      <c r="BI138" s="82" t="str">
        <f>IF([13]回答表!F17="下水道事業",IF([13]回答表!X43="○",[13]回答表!E191,IF([13]回答表!AA43="○",[13]回答表!E239,"")),"")</f>
        <v/>
      </c>
      <c r="BJ138" s="83"/>
      <c r="BK138" s="83"/>
      <c r="BL138" s="83"/>
      <c r="BM138" s="82" t="str">
        <f>IF([13]回答表!F17="下水道事業",IF([13]回答表!X43="○",[13]回答表!E192,IF([13]回答表!AA43="○",[13]回答表!E240,"")),"")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IF([13]回答表!F17="下水道事業",IF([13]回答表!AA43="○","○",""),"")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IF([13]回答表!F17="下水道事業",IF([13]回答表!X43="○",[13]回答表!Y186,IF([13]回答表!AA43="○",[13]回答表!Y234,"")),"")</f>
        <v/>
      </c>
      <c r="V142" s="119"/>
      <c r="W142" s="119"/>
      <c r="X142" s="119"/>
      <c r="Y142" s="119"/>
      <c r="Z142" s="119"/>
      <c r="AA142" s="119"/>
      <c r="AB142" s="120"/>
      <c r="AC142" s="118" t="str">
        <f>IF([13]回答表!F17="下水道事業",IF([13]回答表!X43="○",[13]回答表!Y187,IF([13]回答表!AA43="○",[13]回答表!Y235,"")),"")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IF([13]回答表!F17="下水道事業",IF([13]回答表!AD43="○","○",""),"")</f>
        <v/>
      </c>
      <c r="O147" s="98"/>
      <c r="P147" s="98"/>
      <c r="Q147" s="99"/>
      <c r="R147" s="39"/>
      <c r="S147" s="39"/>
      <c r="T147" s="39"/>
      <c r="U147" s="106" t="str">
        <f>IF([13]回答表!F17="下水道事業",IF([13]回答表!AD43="○",[13]回答表!B249,""),"")</f>
        <v/>
      </c>
      <c r="V147" s="107"/>
      <c r="W147" s="107"/>
      <c r="X147" s="107"/>
      <c r="Y147" s="107"/>
      <c r="Z147" s="107"/>
      <c r="AA147" s="107"/>
      <c r="AB147" s="107"/>
      <c r="AC147" s="107"/>
      <c r="AD147" s="107"/>
      <c r="AE147" s="107"/>
      <c r="AF147" s="107"/>
      <c r="AG147" s="107"/>
      <c r="AH147" s="107"/>
      <c r="AI147" s="107"/>
      <c r="AJ147" s="108"/>
      <c r="AK147" s="56"/>
      <c r="AL147" s="56"/>
      <c r="AM147" s="106" t="str">
        <f>IF([13]回答表!F17="下水道事業",IF([13]回答表!AD43="○",[13]回答表!B255,""),"")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IF([13]回答表!BD17="○",IF([13]回答表!X43="○","○",""),"")</f>
        <v/>
      </c>
      <c r="O159" s="98"/>
      <c r="P159" s="98"/>
      <c r="Q159" s="99"/>
      <c r="R159" s="39"/>
      <c r="S159" s="39"/>
      <c r="T159" s="39"/>
      <c r="U159" s="106" t="str">
        <f>IF([13]回答表!BD17="○",IF([13]回答表!X43="○",[13]回答表!B154,IF([13]回答表!AA43="○",[13]回答表!B201,"")),"")</f>
        <v/>
      </c>
      <c r="V159" s="107"/>
      <c r="W159" s="107"/>
      <c r="X159" s="107"/>
      <c r="Y159" s="107"/>
      <c r="Z159" s="107"/>
      <c r="AA159" s="107"/>
      <c r="AB159" s="107"/>
      <c r="AC159" s="107"/>
      <c r="AD159" s="107"/>
      <c r="AE159" s="107"/>
      <c r="AF159" s="107"/>
      <c r="AG159" s="107"/>
      <c r="AH159" s="107"/>
      <c r="AI159" s="107"/>
      <c r="AJ159" s="108"/>
      <c r="AK159" s="50"/>
      <c r="AL159" s="50"/>
      <c r="AM159" s="115" t="str">
        <f>IF([13]回答表!BD17="○",IF([13]回答表!X43="○",[13]回答表!B190,IF([13]回答表!AA43="○",[13]回答表!B238,"")),"")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IF([13]回答表!BD17="○",IF([13]回答表!X43="○",[13]回答表!E190,IF([13]回答表!AA43="○",[13]回答表!E238,"")),"")</f>
        <v/>
      </c>
      <c r="AN162" s="83"/>
      <c r="AO162" s="83"/>
      <c r="AP162" s="83"/>
      <c r="AQ162" s="82" t="str">
        <f>IF([13]回答表!BD17="○",IF([13]回答表!X43="○",[13]回答表!E191,IF([13]回答表!AA43="○",[13]回答表!E239,"")),"")</f>
        <v/>
      </c>
      <c r="AR162" s="83"/>
      <c r="AS162" s="83"/>
      <c r="AT162" s="83"/>
      <c r="AU162" s="82" t="str">
        <f>IF([13]回答表!BD17="○",IF([13]回答表!X43="○",[13]回答表!E192,IF([13]回答表!AA43="○",[13]回答表!E240,"")),"")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IF([13]回答表!BD17="○",IF([13]回答表!AA43="○","○",""),"")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IF([13]回答表!BD17="○",IF([13]回答表!AD43="○","○",""),"")</f>
        <v/>
      </c>
      <c r="O171" s="98"/>
      <c r="P171" s="98"/>
      <c r="Q171" s="99"/>
      <c r="R171" s="39"/>
      <c r="S171" s="39"/>
      <c r="T171" s="39"/>
      <c r="U171" s="106" t="str">
        <f>IF([13]回答表!BD17="○",IF([13]回答表!AD43="○",[13]回答表!B249,""),"")</f>
        <v/>
      </c>
      <c r="V171" s="107"/>
      <c r="W171" s="107"/>
      <c r="X171" s="107"/>
      <c r="Y171" s="107"/>
      <c r="Z171" s="107"/>
      <c r="AA171" s="107"/>
      <c r="AB171" s="107"/>
      <c r="AC171" s="107"/>
      <c r="AD171" s="107"/>
      <c r="AE171" s="107"/>
      <c r="AF171" s="107"/>
      <c r="AG171" s="107"/>
      <c r="AH171" s="107"/>
      <c r="AI171" s="107"/>
      <c r="AJ171" s="108"/>
      <c r="AK171" s="56"/>
      <c r="AL171" s="56"/>
      <c r="AM171" s="106" t="str">
        <f>IF([13]回答表!BD17="○",IF([13]回答表!AD43="○",[13]回答表!B255,""),"")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IF([13]回答表!X44="○","○","")</f>
        <v/>
      </c>
      <c r="O183" s="98"/>
      <c r="P183" s="98"/>
      <c r="Q183" s="99"/>
      <c r="R183" s="39"/>
      <c r="S183" s="39"/>
      <c r="T183" s="39"/>
      <c r="U183" s="106" t="str">
        <f>IF([13]回答表!X44="○",[13]回答表!B266,IF([13]回答表!AA44="○",[13]回答表!B283,""))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IF([13]回答表!X44="○",[13]回答表!U272,IF([13]回答表!AA44="○",[13]回答表!U289,""))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IF([13]回答表!X44="○",[13]回答表!G272,IF([13]回答表!AA44="○",[13]回答表!G289,""))</f>
        <v/>
      </c>
      <c r="AN186" s="119"/>
      <c r="AO186" s="119"/>
      <c r="AP186" s="119"/>
      <c r="AQ186" s="119"/>
      <c r="AR186" s="119"/>
      <c r="AS186" s="119"/>
      <c r="AT186" s="120"/>
      <c r="AU186" s="118" t="str">
        <f>IF([13]回答表!X44="○",[13]回答表!G273,IF([13]回答表!AA44="○",[13]回答表!G290,""))</f>
        <v/>
      </c>
      <c r="AV186" s="119"/>
      <c r="AW186" s="119"/>
      <c r="AX186" s="119"/>
      <c r="AY186" s="119"/>
      <c r="AZ186" s="119"/>
      <c r="BA186" s="119"/>
      <c r="BB186" s="120"/>
      <c r="BC186" s="40"/>
      <c r="BD186" s="35"/>
      <c r="BE186" s="82" t="str">
        <f>IF([13]回答表!X44="○",[13]回答表!X272,IF([13]回答表!AA44="○",[13]回答表!X289,""))</f>
        <v/>
      </c>
      <c r="BF186" s="83"/>
      <c r="BG186" s="83"/>
      <c r="BH186" s="83"/>
      <c r="BI186" s="82" t="str">
        <f>IF([13]回答表!X44="○",[13]回答表!X273,IF([13]回答表!AA44="○",[13]回答表!X290,""))</f>
        <v/>
      </c>
      <c r="BJ186" s="83"/>
      <c r="BK186" s="83"/>
      <c r="BL186" s="86"/>
      <c r="BM186" s="82" t="str">
        <f>IF([13]回答表!X44="○",[13]回答表!X274,IF([13]回答表!AA44="○",[13]回答表!X291,""))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IF([13]回答表!AA44="○","○","")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IF([13]回答表!AD44="○","○","")</f>
        <v/>
      </c>
      <c r="O195" s="98"/>
      <c r="P195" s="98"/>
      <c r="Q195" s="99"/>
      <c r="R195" s="39"/>
      <c r="S195" s="39"/>
      <c r="T195" s="39"/>
      <c r="U195" s="106" t="str">
        <f>IF([13]回答表!AD44="○",[13]回答表!B296,"")</f>
        <v/>
      </c>
      <c r="V195" s="107"/>
      <c r="W195" s="107"/>
      <c r="X195" s="107"/>
      <c r="Y195" s="107"/>
      <c r="Z195" s="107"/>
      <c r="AA195" s="107"/>
      <c r="AB195" s="107"/>
      <c r="AC195" s="107"/>
      <c r="AD195" s="107"/>
      <c r="AE195" s="107"/>
      <c r="AF195" s="107"/>
      <c r="AG195" s="107"/>
      <c r="AH195" s="107"/>
      <c r="AI195" s="107"/>
      <c r="AJ195" s="108"/>
      <c r="AK195" s="61"/>
      <c r="AL195" s="61"/>
      <c r="AM195" s="106" t="str">
        <f>IF([13]回答表!AD44="○",[13]回答表!B302,"")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IF([13]回答表!X45="○","○","")</f>
        <v>○</v>
      </c>
      <c r="O207" s="98"/>
      <c r="P207" s="98"/>
      <c r="Q207" s="99"/>
      <c r="R207" s="39"/>
      <c r="S207" s="39"/>
      <c r="T207" s="39"/>
      <c r="U207" s="106" t="str">
        <f>IF([13]回答表!X45="○",[13]回答表!B314,IF([13]回答表!AA45="○",[13]回答表!B337,""))</f>
        <v>上下水道料金等関連業務について、事業提案型プロポーザル方式により委託者を選定し、委託契約を締結した。（期間５年）</v>
      </c>
      <c r="V207" s="107"/>
      <c r="W207" s="107"/>
      <c r="X207" s="107"/>
      <c r="Y207" s="107"/>
      <c r="Z207" s="107"/>
      <c r="AA207" s="107"/>
      <c r="AB207" s="107"/>
      <c r="AC207" s="107"/>
      <c r="AD207" s="107"/>
      <c r="AE207" s="107"/>
      <c r="AF207" s="107"/>
      <c r="AG207" s="107"/>
      <c r="AH207" s="107"/>
      <c r="AI207" s="107"/>
      <c r="AJ207" s="108"/>
      <c r="AK207" s="50"/>
      <c r="AL207" s="50"/>
      <c r="AM207" s="50"/>
      <c r="AN207" s="106" t="str">
        <f>IF([13]回答表!X45="○",[13]回答表!B320,"")</f>
        <v>窓口業務、開閉栓業務、検針調定業務、収納業務、還付業務、滞納整理業務、給水停止業務、電算処理業務（料金システムを含む）、メーター交換業務、その他付帯業務　</v>
      </c>
      <c r="AO207" s="164"/>
      <c r="AP207" s="164"/>
      <c r="AQ207" s="164"/>
      <c r="AR207" s="164"/>
      <c r="AS207" s="164"/>
      <c r="AT207" s="164"/>
      <c r="AU207" s="164"/>
      <c r="AV207" s="164"/>
      <c r="AW207" s="164"/>
      <c r="AX207" s="164"/>
      <c r="AY207" s="164"/>
      <c r="AZ207" s="164"/>
      <c r="BA207" s="164"/>
      <c r="BB207" s="165"/>
      <c r="BC207" s="40"/>
      <c r="BD207" s="35"/>
      <c r="BE207" s="115" t="str">
        <f>IF([13]回答表!X45="○",[13]回答表!B326,IF([13]回答表!AA45="○",[13]回答表!B343,""))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f>IF([13]回答表!X45="○",[13]回答表!E326,IF([13]回答表!AA45="○",[13]回答表!E343,""))</f>
        <v>22</v>
      </c>
      <c r="BF210" s="83"/>
      <c r="BG210" s="83"/>
      <c r="BH210" s="83"/>
      <c r="BI210" s="82">
        <f>IF([13]回答表!X45="○",[13]回答表!E327,IF([13]回答表!AA45="○",[13]回答表!E344,""))</f>
        <v>11</v>
      </c>
      <c r="BJ210" s="83"/>
      <c r="BK210" s="83"/>
      <c r="BL210" s="86"/>
      <c r="BM210" s="82">
        <f>IF([13]回答表!X45="○",[13]回答表!E328,IF([13]回答表!AA45="○",[13]回答表!E345,""))</f>
        <v>30</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IF([13]回答表!AA45="○","○","")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IF([13]回答表!AD45="○","○","")</f>
        <v/>
      </c>
      <c r="O219" s="98"/>
      <c r="P219" s="98"/>
      <c r="Q219" s="99"/>
      <c r="R219" s="39"/>
      <c r="S219" s="39"/>
      <c r="T219" s="39"/>
      <c r="U219" s="106" t="str">
        <f>IF([13]回答表!AD45="○",[13]回答表!B350,"")</f>
        <v/>
      </c>
      <c r="V219" s="107"/>
      <c r="W219" s="107"/>
      <c r="X219" s="107"/>
      <c r="Y219" s="107"/>
      <c r="Z219" s="107"/>
      <c r="AA219" s="107"/>
      <c r="AB219" s="107"/>
      <c r="AC219" s="107"/>
      <c r="AD219" s="107"/>
      <c r="AE219" s="107"/>
      <c r="AF219" s="107"/>
      <c r="AG219" s="107"/>
      <c r="AH219" s="107"/>
      <c r="AI219" s="107"/>
      <c r="AJ219" s="108"/>
      <c r="AK219" s="61"/>
      <c r="AL219" s="61"/>
      <c r="AM219" s="106" t="str">
        <f>IF([13]回答表!AD45="○",[13]回答表!B356,"")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IF([13]回答表!X46="○","○","")</f>
        <v/>
      </c>
      <c r="O231" s="98"/>
      <c r="P231" s="98"/>
      <c r="Q231" s="99"/>
      <c r="R231" s="39"/>
      <c r="S231" s="39"/>
      <c r="T231" s="39"/>
      <c r="U231" s="106" t="str">
        <f>IF([13]回答表!X46="○",[13]回答表!B368,IF([13]回答表!AA46="○",[13]回答表!B382,""))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IF([13]回答表!X46="○",[13]回答表!BC375,IF([13]回答表!AA46="○",[13]回答表!BC389,""))</f>
        <v/>
      </c>
      <c r="AR231" s="150"/>
      <c r="AS231" s="150"/>
      <c r="AT231" s="150"/>
      <c r="AU231" s="155" t="s">
        <v>63</v>
      </c>
      <c r="AV231" s="156"/>
      <c r="AW231" s="156"/>
      <c r="AX231" s="157"/>
      <c r="AY231" s="150" t="str">
        <f>IF([13]回答表!X46="○",[13]回答表!BC380,IF([13]回答表!AA46="○",[13]回答表!BC394,""))</f>
        <v/>
      </c>
      <c r="AZ231" s="150"/>
      <c r="BA231" s="150"/>
      <c r="BB231" s="150"/>
      <c r="BC231" s="40"/>
      <c r="BD231" s="35"/>
      <c r="BE231" s="115" t="str">
        <f>IF([13]回答表!X46="○",[13]回答表!S374,IF([13]回答表!AA46="○",[13]回答表!S388,""))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IF([13]回答表!X46="○",[13]回答表!BC376,IF([13]回答表!AA46="○",[13]回答表!BC390,""))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IF([13]回答表!X46="○",[13]回答表!V374,IF([13]回答表!AA46="○",[13]回答表!V388,""))</f>
        <v/>
      </c>
      <c r="BF234" s="83"/>
      <c r="BG234" s="83"/>
      <c r="BH234" s="83"/>
      <c r="BI234" s="82" t="str">
        <f>IF([13]回答表!X46="○",[13]回答表!V375,IF([13]回答表!AA46="○",[13]回答表!V389,""))</f>
        <v/>
      </c>
      <c r="BJ234" s="83"/>
      <c r="BK234" s="83"/>
      <c r="BL234" s="86"/>
      <c r="BM234" s="82" t="str">
        <f>IF([13]回答表!X46="○",[13]回答表!V376,IF([13]回答表!AA46="○",[13]回答表!V390,""))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IF([13]回答表!X46="○",[13]回答表!BC377,IF([13]回答表!AA46="○",[13]回答表!BC391,""))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IF([13]回答表!X46="○",[13]回答表!BC381,IF([13]回答表!AA46="○",[13]回答表!BC395,""))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IF([13]回答表!AA46="○","○","")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IF([13]回答表!X46="○",[13]回答表!BC378,IF([13]回答表!AA46="○",[13]回答表!BC392,""))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IF([13]回答表!X46="○",[13]回答表!BC379,IF([13]回答表!AA46="○",[13]回答表!BC393,""))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IF([13]回答表!AD46="○","○","")</f>
        <v/>
      </c>
      <c r="O243" s="98"/>
      <c r="P243" s="98"/>
      <c r="Q243" s="99"/>
      <c r="R243" s="39"/>
      <c r="S243" s="39"/>
      <c r="T243" s="39"/>
      <c r="U243" s="106" t="str">
        <f>IF([13]回答表!AD46="○",[13]回答表!B396,"")</f>
        <v/>
      </c>
      <c r="V243" s="107"/>
      <c r="W243" s="107"/>
      <c r="X243" s="107"/>
      <c r="Y243" s="107"/>
      <c r="Z243" s="107"/>
      <c r="AA243" s="107"/>
      <c r="AB243" s="107"/>
      <c r="AC243" s="107"/>
      <c r="AD243" s="107"/>
      <c r="AE243" s="107"/>
      <c r="AF243" s="107"/>
      <c r="AG243" s="107"/>
      <c r="AH243" s="107"/>
      <c r="AI243" s="107"/>
      <c r="AJ243" s="108"/>
      <c r="AK243" s="56"/>
      <c r="AL243" s="56"/>
      <c r="AM243" s="106" t="str">
        <f>IF([13]回答表!AD46="○",[13]回答表!B402,"")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IF([13]回答表!X47="○","○","")</f>
        <v/>
      </c>
      <c r="O254" s="98"/>
      <c r="P254" s="98"/>
      <c r="Q254" s="99"/>
      <c r="R254" s="39"/>
      <c r="S254" s="39"/>
      <c r="T254" s="39"/>
      <c r="U254" s="106" t="str">
        <f>IF([13]回答表!X47="○",[13]回答表!B414,IF([13]回答表!AA47="○",[13]回答表!B431,""))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IF([13]回答表!X47="○",[13]回答表!B424,IF([13]回答表!AA47="○",[13]回答表!B441,""))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IF([13]回答表!X47="○",[13]回答表!G420,IF([13]回答表!AA47="○",[13]回答表!G437,""))</f>
        <v/>
      </c>
      <c r="AN256" s="119"/>
      <c r="AO256" s="119"/>
      <c r="AP256" s="119"/>
      <c r="AQ256" s="119"/>
      <c r="AR256" s="119"/>
      <c r="AS256" s="119"/>
      <c r="AT256" s="120"/>
      <c r="AU256" s="118" t="str">
        <f>IF([13]回答表!X47="○",[13]回答表!G421,IF([13]回答表!AA47="○",[13]回答表!G438,""))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IF([13]回答表!X47="○",[13]回答表!E424,IF([13]回答表!AA47="○",[13]回答表!E441,""))</f>
        <v/>
      </c>
      <c r="BF257" s="83"/>
      <c r="BG257" s="83"/>
      <c r="BH257" s="83"/>
      <c r="BI257" s="82" t="str">
        <f>IF([13]回答表!X47="○",[13]回答表!E425,IF([13]回答表!AA47="○",[13]回答表!E442,""))</f>
        <v/>
      </c>
      <c r="BJ257" s="83"/>
      <c r="BK257" s="83"/>
      <c r="BL257" s="86"/>
      <c r="BM257" s="82" t="str">
        <f>IF([13]回答表!X47="○",[13]回答表!E426,IF([13]回答表!AA47="○",[13]回答表!E443,""))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IF([13]回答表!AA47="○","○","")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IF([13]回答表!AD47="○","○","")</f>
        <v/>
      </c>
      <c r="O266" s="98"/>
      <c r="P266" s="98"/>
      <c r="Q266" s="99"/>
      <c r="R266" s="39"/>
      <c r="S266" s="39"/>
      <c r="T266" s="39"/>
      <c r="U266" s="106" t="str">
        <f>IF([13]回答表!AD47="○",[13]回答表!B448,"")</f>
        <v/>
      </c>
      <c r="V266" s="107"/>
      <c r="W266" s="107"/>
      <c r="X266" s="107"/>
      <c r="Y266" s="107"/>
      <c r="Z266" s="107"/>
      <c r="AA266" s="107"/>
      <c r="AB266" s="107"/>
      <c r="AC266" s="107"/>
      <c r="AD266" s="107"/>
      <c r="AE266" s="107"/>
      <c r="AF266" s="107"/>
      <c r="AG266" s="107"/>
      <c r="AH266" s="107"/>
      <c r="AI266" s="107"/>
      <c r="AJ266" s="108"/>
      <c r="AK266" s="50"/>
      <c r="AL266" s="50"/>
      <c r="AM266" s="106" t="str">
        <f>IF([13]回答表!AD47="○",[13]回答表!B454,"")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IF([13]回答表!R48="○",[13]回答表!B467,"")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5805-D1A3-4222-AD13-98688FFC5F60}">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IF(COUNTIF([10]回答表!K15,"*")&gt;0,[10]回答表!K15,"")</f>
        <v>横手市</v>
      </c>
      <c r="D11" s="246"/>
      <c r="E11" s="246"/>
      <c r="F11" s="246"/>
      <c r="G11" s="246"/>
      <c r="H11" s="246"/>
      <c r="I11" s="246"/>
      <c r="J11" s="246"/>
      <c r="K11" s="246"/>
      <c r="L11" s="246"/>
      <c r="M11" s="246"/>
      <c r="N11" s="246"/>
      <c r="O11" s="246"/>
      <c r="P11" s="246"/>
      <c r="Q11" s="246"/>
      <c r="R11" s="246"/>
      <c r="S11" s="246"/>
      <c r="T11" s="246"/>
      <c r="U11" s="253" t="str">
        <f>IF(COUNTIF([10]回答表!F17,"*")&gt;0,[10]回答表!F17,"")</f>
        <v>簡易水道事業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IF(COUNTIF([10]回答表!W17,"*")&gt;0,[10]回答表!W17,"")</f>
        <v>―</v>
      </c>
      <c r="AP11" s="248"/>
      <c r="AQ11" s="248"/>
      <c r="AR11" s="248"/>
      <c r="AS11" s="248"/>
      <c r="AT11" s="248"/>
      <c r="AU11" s="248"/>
      <c r="AV11" s="248"/>
      <c r="AW11" s="248"/>
      <c r="AX11" s="248"/>
      <c r="AY11" s="248"/>
      <c r="AZ11" s="248"/>
      <c r="BA11" s="248"/>
      <c r="BB11" s="248"/>
      <c r="BC11" s="248"/>
      <c r="BD11" s="248"/>
      <c r="BE11" s="249"/>
      <c r="BF11" s="252" t="str">
        <f>IF(COUNTIF([10]回答表!F19,"*")&gt;0,[10]回答表!F19,"")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IF([10]回答表!R41="○","○","")</f>
        <v>○</v>
      </c>
      <c r="E24" s="122"/>
      <c r="F24" s="122"/>
      <c r="G24" s="122"/>
      <c r="H24" s="122"/>
      <c r="I24" s="122"/>
      <c r="J24" s="123"/>
      <c r="K24" s="121" t="str">
        <f>IF([10]回答表!R42="○","○","")</f>
        <v/>
      </c>
      <c r="L24" s="122"/>
      <c r="M24" s="122"/>
      <c r="N24" s="122"/>
      <c r="O24" s="122"/>
      <c r="P24" s="122"/>
      <c r="Q24" s="123"/>
      <c r="R24" s="121" t="str">
        <f>IF([10]回答表!R43="○","○","")</f>
        <v/>
      </c>
      <c r="S24" s="122"/>
      <c r="T24" s="122"/>
      <c r="U24" s="122"/>
      <c r="V24" s="122"/>
      <c r="W24" s="122"/>
      <c r="X24" s="123"/>
      <c r="Y24" s="121" t="str">
        <f>IF([10]回答表!R44="○","○","")</f>
        <v/>
      </c>
      <c r="Z24" s="122"/>
      <c r="AA24" s="122"/>
      <c r="AB24" s="122"/>
      <c r="AC24" s="122"/>
      <c r="AD24" s="122"/>
      <c r="AE24" s="123"/>
      <c r="AF24" s="121" t="str">
        <f>IF([10]回答表!R45="○","○","")</f>
        <v/>
      </c>
      <c r="AG24" s="122"/>
      <c r="AH24" s="122"/>
      <c r="AI24" s="122"/>
      <c r="AJ24" s="122"/>
      <c r="AK24" s="122"/>
      <c r="AL24" s="123"/>
      <c r="AM24" s="121" t="str">
        <f>IF([10]回答表!R46="○","○","")</f>
        <v/>
      </c>
      <c r="AN24" s="122"/>
      <c r="AO24" s="122"/>
      <c r="AP24" s="122"/>
      <c r="AQ24" s="122"/>
      <c r="AR24" s="122"/>
      <c r="AS24" s="123"/>
      <c r="AT24" s="121" t="str">
        <f>IF([10]回答表!R47="○","○","")</f>
        <v/>
      </c>
      <c r="AU24" s="122"/>
      <c r="AV24" s="122"/>
      <c r="AW24" s="122"/>
      <c r="AX24" s="122"/>
      <c r="AY24" s="122"/>
      <c r="AZ24" s="123"/>
      <c r="BA24" s="19"/>
      <c r="BB24" s="118" t="str">
        <f>IF([10]回答表!R48="○","○","")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IF([10]回答表!X41="○","○","")</f>
        <v>○</v>
      </c>
      <c r="O36" s="98"/>
      <c r="P36" s="98"/>
      <c r="Q36" s="99"/>
      <c r="R36" s="39"/>
      <c r="S36" s="39"/>
      <c r="T36" s="39"/>
      <c r="U36" s="106" t="str">
        <f>IF([10]回答表!X41="○",[10]回答表!B56,IF([10]回答表!AA41="○",[10]回答表!B76,""))</f>
        <v>20の法適簡易水道事業を廃止し、上水道事業に統合（認可）した。
今後は施設の統廃合により維持管理すべき施設数を削減し、維持管理の効率化を図る。</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IF([10]回答表!X41="○",[10]回答表!S62,IF([10]回答表!AA41="○",[10]回答表!S82,""))</f>
        <v>平成</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IF([10]回答表!X41="○",[10]回答表!G62,IF([10]回答表!AA41="○",[10]回答表!G82,""))</f>
        <v>○</v>
      </c>
      <c r="AN38" s="119"/>
      <c r="AO38" s="119"/>
      <c r="AP38" s="119"/>
      <c r="AQ38" s="119"/>
      <c r="AR38" s="119"/>
      <c r="AS38" s="119"/>
      <c r="AT38" s="120"/>
      <c r="AU38" s="118">
        <f>IF([10]回答表!X41="○",[10]回答表!G63,IF([10]回答表!AA41="○",[10]回答表!G83,""))</f>
        <v>0</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f>IF([10]回答表!X41="○",[10]回答表!V62,IF([10]回答表!AA41="○",[10]回答表!V82,""))</f>
        <v>29</v>
      </c>
      <c r="BF39" s="199"/>
      <c r="BG39" s="199"/>
      <c r="BH39" s="200"/>
      <c r="BI39" s="82">
        <f>IF([10]回答表!X41="○",[10]回答表!V63,IF([10]回答表!AA41="○",[10]回答表!V83,""))</f>
        <v>4</v>
      </c>
      <c r="BJ39" s="199"/>
      <c r="BK39" s="199"/>
      <c r="BL39" s="200"/>
      <c r="BM39" s="82">
        <f>IF([10]回答表!X41="○",[10]回答表!V64,IF([10]回答表!AA41="○",[10]回答表!V84,""))</f>
        <v>1</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f>IF([10]回答表!X41="○",[10]回答表!O68,IF([10]回答表!AA41="○",[10]回答表!O88,""))</f>
        <v>0</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f>IF([10]回答表!X41="○",[10]回答表!O69,IF([10]回答表!AA41="○",[10]回答表!O89,""))</f>
        <v>0</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IF([10]回答表!AA41="○","○","")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f>IF([10]回答表!X41="○",[10]回答表!O70,IF([10]回答表!AA41="○",[10]回答表!O90,""))</f>
        <v>0</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f>IF([10]回答表!X41="○",[10]回答表!O71,IF([10]回答表!AA41="○",[10]回答表!O91,""))</f>
        <v>0</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f>IF([10]回答表!X41="○",[10]回答表!AG68,IF([10]回答表!AA41="○",[10]回答表!AG88,""))</f>
        <v>0</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IF([10]回答表!X41="○",[10]回答表!AG69,IF([10]回答表!AA41="○",[10]回答表!AG89,""))</f>
        <v>○</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f>IF([10]回答表!X41="○",[10]回答表!AG70,IF([10]回答表!AA41="○",[10]回答表!AG90,""))</f>
        <v>0</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IF([10]回答表!AD41="○","○","")</f>
        <v/>
      </c>
      <c r="O52" s="98"/>
      <c r="P52" s="98"/>
      <c r="Q52" s="99"/>
      <c r="R52" s="39"/>
      <c r="S52" s="39"/>
      <c r="T52" s="39"/>
      <c r="U52" s="106" t="str">
        <f>IF([10]回答表!AD41="○",[10]回答表!B96,"")</f>
        <v/>
      </c>
      <c r="V52" s="107"/>
      <c r="W52" s="107"/>
      <c r="X52" s="107"/>
      <c r="Y52" s="107"/>
      <c r="Z52" s="107"/>
      <c r="AA52" s="107"/>
      <c r="AB52" s="107"/>
      <c r="AC52" s="107"/>
      <c r="AD52" s="107"/>
      <c r="AE52" s="107"/>
      <c r="AF52" s="107"/>
      <c r="AG52" s="107"/>
      <c r="AH52" s="107"/>
      <c r="AI52" s="107"/>
      <c r="AJ52" s="108"/>
      <c r="AK52" s="56"/>
      <c r="AL52" s="56"/>
      <c r="AM52" s="106" t="str">
        <f>IF([10]回答表!AD41="○",[10]回答表!B101,"")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IF([10]回答表!X42="○","○","")</f>
        <v/>
      </c>
      <c r="O63" s="98"/>
      <c r="P63" s="98"/>
      <c r="Q63" s="99"/>
      <c r="R63" s="39"/>
      <c r="S63" s="39"/>
      <c r="T63" s="39"/>
      <c r="U63" s="106" t="str">
        <f>IF([10]回答表!X42="○",[10]回答表!B111,IF([10]回答表!AA42="○",[10]回答表!B124,""))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IF([10]回答表!X42="○",[10]回答表!S117,IF([10]回答表!AA42="○",[10]回答表!S130,""))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IF([10]回答表!X42="○",[10]回答表!J117,IF([10]回答表!AA42="○",[10]回答表!J130,""))</f>
        <v/>
      </c>
      <c r="AN66" s="119"/>
      <c r="AO66" s="119"/>
      <c r="AP66" s="119"/>
      <c r="AQ66" s="119"/>
      <c r="AR66" s="119"/>
      <c r="AS66" s="119"/>
      <c r="AT66" s="120"/>
      <c r="AU66" s="118" t="str">
        <f>IF([10]回答表!X42="○",[10]回答表!J118,IF([10]回答表!AA42="○",[10]回答表!J131,""))</f>
        <v/>
      </c>
      <c r="AV66" s="119"/>
      <c r="AW66" s="119"/>
      <c r="AX66" s="119"/>
      <c r="AY66" s="119"/>
      <c r="AZ66" s="119"/>
      <c r="BA66" s="119"/>
      <c r="BB66" s="120"/>
      <c r="BC66" s="40"/>
      <c r="BD66" s="35"/>
      <c r="BE66" s="82" t="str">
        <f>IF([10]回答表!X42="○",[10]回答表!V117,IF([10]回答表!AA42="○",[10]回答表!V130,""))</f>
        <v/>
      </c>
      <c r="BF66" s="83"/>
      <c r="BG66" s="83"/>
      <c r="BH66" s="83"/>
      <c r="BI66" s="82" t="str">
        <f>IF([10]回答表!X42="○",[10]回答表!V118,IF([10]回答表!AA42="○",[10]回答表!V131,""))</f>
        <v/>
      </c>
      <c r="BJ66" s="83"/>
      <c r="BK66" s="83"/>
      <c r="BL66" s="83"/>
      <c r="BM66" s="82" t="str">
        <f>IF([10]回答表!X42="○",[10]回答表!V119,IF([10]回答表!AA42="○",[10]回答表!V132,""))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IF([10]回答表!AA42="○","○","")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IF([10]回答表!AD42="○","○","")</f>
        <v/>
      </c>
      <c r="O75" s="98"/>
      <c r="P75" s="98"/>
      <c r="Q75" s="99"/>
      <c r="R75" s="39"/>
      <c r="S75" s="39"/>
      <c r="T75" s="39"/>
      <c r="U75" s="106" t="str">
        <f>IF([10]回答表!AD42="○",[10]回答表!B137,"")</f>
        <v/>
      </c>
      <c r="V75" s="107"/>
      <c r="W75" s="107"/>
      <c r="X75" s="107"/>
      <c r="Y75" s="107"/>
      <c r="Z75" s="107"/>
      <c r="AA75" s="107"/>
      <c r="AB75" s="107"/>
      <c r="AC75" s="107"/>
      <c r="AD75" s="107"/>
      <c r="AE75" s="107"/>
      <c r="AF75" s="107"/>
      <c r="AG75" s="107"/>
      <c r="AH75" s="107"/>
      <c r="AI75" s="107"/>
      <c r="AJ75" s="108"/>
      <c r="AK75" s="56"/>
      <c r="AL75" s="56"/>
      <c r="AM75" s="106" t="str">
        <f>IF([10]回答表!AD42="○",[10]回答表!B143,"")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IF([10]回答表!F17="水道事業",IF([10]回答表!X43="○","○",""),"")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IF([10]回答表!F17="水道事業",IF([10]回答表!X43="○",[10]回答表!B154,IF([10]回答表!AA43="○",[10]回答表!B201,"")),"")</f>
        <v/>
      </c>
      <c r="AN87" s="107"/>
      <c r="AO87" s="107"/>
      <c r="AP87" s="107"/>
      <c r="AQ87" s="107"/>
      <c r="AR87" s="107"/>
      <c r="AS87" s="107"/>
      <c r="AT87" s="107"/>
      <c r="AU87" s="107"/>
      <c r="AV87" s="107"/>
      <c r="AW87" s="107"/>
      <c r="AX87" s="107"/>
      <c r="AY87" s="107"/>
      <c r="AZ87" s="107"/>
      <c r="BA87" s="107"/>
      <c r="BB87" s="108"/>
      <c r="BC87" s="40"/>
      <c r="BD87" s="35"/>
      <c r="BE87" s="115" t="str">
        <f>IF([10]回答表!F17="水道事業",IF([10]回答表!X43="○",[10]回答表!B190,IF([10]回答表!AA43="○",[10]回答表!B238,"")),"")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IF([10]回答表!F17="水道事業",IF([10]回答表!X43="○",[10]回答表!J162,IF([10]回答表!AA43="○",[10]回答表!J209,"")),"")</f>
        <v/>
      </c>
      <c r="V89" s="119"/>
      <c r="W89" s="119"/>
      <c r="X89" s="119"/>
      <c r="Y89" s="119"/>
      <c r="Z89" s="119"/>
      <c r="AA89" s="119"/>
      <c r="AB89" s="120"/>
      <c r="AC89" s="118" t="str">
        <f>IF([10]回答表!F17="水道事業",IF([10]回答表!X43="○",[10]回答表!J169,IF([10]回答表!AA43="○",[10]回答表!J216,"")),"")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IF([10]回答表!F17="水道事業",IF([10]回答表!X43="○",[10]回答表!E190,IF([10]回答表!AA43="○",[10]回答表!E238,"")),"")</f>
        <v/>
      </c>
      <c r="BF90" s="83"/>
      <c r="BG90" s="83"/>
      <c r="BH90" s="83"/>
      <c r="BI90" s="82" t="str">
        <f>IF([10]回答表!F17="水道事業",IF([10]回答表!X43="○",[10]回答表!E191,IF([10]回答表!AA43="○",[10]回答表!E239,"")),"")</f>
        <v/>
      </c>
      <c r="BJ90" s="83"/>
      <c r="BK90" s="83"/>
      <c r="BL90" s="83"/>
      <c r="BM90" s="82" t="str">
        <f>IF([10]回答表!F17="水道事業",IF([10]回答表!X43="○",[10]回答表!E192,IF([10]回答表!AA43="○",[10]回答表!E240,"")),"")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IF([10]回答表!F17="水道事業",IF([10]回答表!AA43="○","○",""),"")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IF([10]回答表!F17="水道事業",IF([10]回答表!X43="○",[10]回答表!J172,IF([10]回答表!AA43="○",[10]回答表!J219,"")),"")</f>
        <v/>
      </c>
      <c r="V94" s="119"/>
      <c r="W94" s="119"/>
      <c r="X94" s="119"/>
      <c r="Y94" s="119"/>
      <c r="Z94" s="119"/>
      <c r="AA94" s="119"/>
      <c r="AB94" s="120"/>
      <c r="AC94" s="118" t="str">
        <f>IF([10]回答表!F17="水道事業",IF([10]回答表!X43="○",[10]回答表!J176,IF([10]回答表!AA43="○",[10]回答表!J223,"")),"")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IF([10]回答表!F17="水道事業",IF([10]回答表!AD43="○","○",""),"")</f>
        <v/>
      </c>
      <c r="O99" s="98"/>
      <c r="P99" s="98"/>
      <c r="Q99" s="99"/>
      <c r="R99" s="39"/>
      <c r="S99" s="39"/>
      <c r="T99" s="39"/>
      <c r="U99" s="106" t="str">
        <f>IF([10]回答表!F17="水道事業",IF([10]回答表!AD43="○",[10]回答表!B249,""),"")</f>
        <v/>
      </c>
      <c r="V99" s="107"/>
      <c r="W99" s="107"/>
      <c r="X99" s="107"/>
      <c r="Y99" s="107"/>
      <c r="Z99" s="107"/>
      <c r="AA99" s="107"/>
      <c r="AB99" s="107"/>
      <c r="AC99" s="107"/>
      <c r="AD99" s="107"/>
      <c r="AE99" s="107"/>
      <c r="AF99" s="107"/>
      <c r="AG99" s="107"/>
      <c r="AH99" s="107"/>
      <c r="AI99" s="107"/>
      <c r="AJ99" s="108"/>
      <c r="AK99" s="56"/>
      <c r="AL99" s="56"/>
      <c r="AM99" s="106" t="str">
        <f>IF([10]回答表!F17="水道事業",IF([10]回答表!AD43="○",[10]回答表!B255,""),"")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IF([10]回答表!F17="簡易水道事業",IF([10]回答表!X43="○","○",""),"")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IF([10]回答表!F17="簡易水道事業",IF([10]回答表!X43="○",[10]回答表!B154,IF([10]回答表!AA43="○",[10]回答表!B201,"")),"")</f>
        <v/>
      </c>
      <c r="AN111" s="107"/>
      <c r="AO111" s="107"/>
      <c r="AP111" s="107"/>
      <c r="AQ111" s="107"/>
      <c r="AR111" s="107"/>
      <c r="AS111" s="107"/>
      <c r="AT111" s="107"/>
      <c r="AU111" s="107"/>
      <c r="AV111" s="107"/>
      <c r="AW111" s="107"/>
      <c r="AX111" s="107"/>
      <c r="AY111" s="107"/>
      <c r="AZ111" s="107"/>
      <c r="BA111" s="107"/>
      <c r="BB111" s="108"/>
      <c r="BC111" s="40"/>
      <c r="BD111" s="35"/>
      <c r="BE111" s="115" t="str">
        <f>IF([10]回答表!F17="簡易水道事業",IF([10]回答表!X43="○",[10]回答表!B190,IF([10]回答表!AA43="○",[10]回答表!B238,"")),"")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IF([10]回答表!F17="簡易水道事業",IF([10]回答表!X43="○",[10]回答表!Y181,IF([10]回答表!AA43="○",[10]回答表!Y229,"")),"")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IF([10]回答表!F17="簡易水道事業",IF([10]回答表!X43="○",[10]回答表!E190,IF([10]回答表!AA43="○",[10]回答表!E238,"")),"")</f>
        <v/>
      </c>
      <c r="BF114" s="83"/>
      <c r="BG114" s="83"/>
      <c r="BH114" s="83"/>
      <c r="BI114" s="82" t="str">
        <f>IF([10]回答表!F17="簡易水道事業",IF([10]回答表!X43="○",[10]回答表!E191,IF([10]回答表!AA43="○",[10]回答表!E239,"")),"")</f>
        <v/>
      </c>
      <c r="BJ114" s="83"/>
      <c r="BK114" s="83"/>
      <c r="BL114" s="83"/>
      <c r="BM114" s="82" t="str">
        <f>IF([10]回答表!F17="簡易水道事業",IF([10]回答表!X43="○",[10]回答表!E192,IF([10]回答表!AA43="○",[10]回答表!E240,"")),"")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IF([10]回答表!F17="簡易水道事業",IF([10]回答表!AA43="○","○",""),"")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IF([10]回答表!F17="簡易水道事業",IF([10]回答表!X43="○",[10]回答表!Y182,IF([10]回答表!AA43="○",[10]回答表!Y230,"")),"")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IF([10]回答表!F17="簡易水道事業",IF([10]回答表!AD43="○","○",""),"")</f>
        <v/>
      </c>
      <c r="O123" s="98"/>
      <c r="P123" s="98"/>
      <c r="Q123" s="99"/>
      <c r="R123" s="39"/>
      <c r="S123" s="39"/>
      <c r="T123" s="39"/>
      <c r="U123" s="106" t="str">
        <f>IF([10]回答表!F17="簡易水道事業",IF([10]回答表!AD43="○",[10]回答表!B249,""),"")</f>
        <v/>
      </c>
      <c r="V123" s="107"/>
      <c r="W123" s="107"/>
      <c r="X123" s="107"/>
      <c r="Y123" s="107"/>
      <c r="Z123" s="107"/>
      <c r="AA123" s="107"/>
      <c r="AB123" s="107"/>
      <c r="AC123" s="107"/>
      <c r="AD123" s="107"/>
      <c r="AE123" s="107"/>
      <c r="AF123" s="107"/>
      <c r="AG123" s="107"/>
      <c r="AH123" s="107"/>
      <c r="AI123" s="107"/>
      <c r="AJ123" s="108"/>
      <c r="AK123" s="56"/>
      <c r="AL123" s="56"/>
      <c r="AM123" s="106" t="str">
        <f>IF([10]回答表!F17="簡易水道事業",IF([10]回答表!AD43="○",[10]回答表!B255,""),"")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IF([10]回答表!F17="下水道事業",IF([10]回答表!X43="○","○",""),"")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IF([10]回答表!F17="下水道事業",IF([10]回答表!X43="○",[10]回答表!B154,IF([10]回答表!AA43="○",[10]回答表!B201,"")),"")</f>
        <v/>
      </c>
      <c r="AN135" s="107"/>
      <c r="AO135" s="107"/>
      <c r="AP135" s="107"/>
      <c r="AQ135" s="107"/>
      <c r="AR135" s="107"/>
      <c r="AS135" s="107"/>
      <c r="AT135" s="107"/>
      <c r="AU135" s="107"/>
      <c r="AV135" s="107"/>
      <c r="AW135" s="107"/>
      <c r="AX135" s="107"/>
      <c r="AY135" s="107"/>
      <c r="AZ135" s="107"/>
      <c r="BA135" s="107"/>
      <c r="BB135" s="108"/>
      <c r="BC135" s="40"/>
      <c r="BD135" s="35"/>
      <c r="BE135" s="115" t="str">
        <f>IF([10]回答表!F17="下水道事業",IF([10]回答表!X43="○",[10]回答表!B190,IF([10]回答表!AA43="○",[10]回答表!B238,"")),"")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IF([10]回答表!F17="下水道事業",IF([10]回答表!X43="○",[10]回答表!Y184,IF([10]回答表!AA43="○",[10]回答表!Y232,"")),"")</f>
        <v/>
      </c>
      <c r="V137" s="119"/>
      <c r="W137" s="119"/>
      <c r="X137" s="119"/>
      <c r="Y137" s="119"/>
      <c r="Z137" s="119"/>
      <c r="AA137" s="119"/>
      <c r="AB137" s="120"/>
      <c r="AC137" s="118" t="str">
        <f>IF([10]回答表!F17="下水道事業",IF([10]回答表!X43="○",[10]回答表!Y185,IF([10]回答表!AA43="○",[10]回答表!Y233,"")),"")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IF([10]回答表!F17="下水道事業",IF([10]回答表!X43="○",[10]回答表!E190,IF([10]回答表!AA43="○",[10]回答表!E238,"")),"")</f>
        <v/>
      </c>
      <c r="BF138" s="83"/>
      <c r="BG138" s="83"/>
      <c r="BH138" s="83"/>
      <c r="BI138" s="82" t="str">
        <f>IF([10]回答表!F17="下水道事業",IF([10]回答表!X43="○",[10]回答表!E191,IF([10]回答表!AA43="○",[10]回答表!E239,"")),"")</f>
        <v/>
      </c>
      <c r="BJ138" s="83"/>
      <c r="BK138" s="83"/>
      <c r="BL138" s="83"/>
      <c r="BM138" s="82" t="str">
        <f>IF([10]回答表!F17="下水道事業",IF([10]回答表!X43="○",[10]回答表!E192,IF([10]回答表!AA43="○",[10]回答表!E240,"")),"")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IF([10]回答表!F17="下水道事業",IF([10]回答表!AA43="○","○",""),"")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IF([10]回答表!F17="下水道事業",IF([10]回答表!X43="○",[10]回答表!Y186,IF([10]回答表!AA43="○",[10]回答表!Y234,"")),"")</f>
        <v/>
      </c>
      <c r="V142" s="119"/>
      <c r="W142" s="119"/>
      <c r="X142" s="119"/>
      <c r="Y142" s="119"/>
      <c r="Z142" s="119"/>
      <c r="AA142" s="119"/>
      <c r="AB142" s="120"/>
      <c r="AC142" s="118" t="str">
        <f>IF([10]回答表!F17="下水道事業",IF([10]回答表!X43="○",[10]回答表!Y187,IF([10]回答表!AA43="○",[10]回答表!Y235,"")),"")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IF([10]回答表!F17="下水道事業",IF([10]回答表!AD43="○","○",""),"")</f>
        <v/>
      </c>
      <c r="O147" s="98"/>
      <c r="P147" s="98"/>
      <c r="Q147" s="99"/>
      <c r="R147" s="39"/>
      <c r="S147" s="39"/>
      <c r="T147" s="39"/>
      <c r="U147" s="106" t="str">
        <f>IF([10]回答表!F17="下水道事業",IF([10]回答表!AD43="○",[10]回答表!B249,""),"")</f>
        <v/>
      </c>
      <c r="V147" s="107"/>
      <c r="W147" s="107"/>
      <c r="X147" s="107"/>
      <c r="Y147" s="107"/>
      <c r="Z147" s="107"/>
      <c r="AA147" s="107"/>
      <c r="AB147" s="107"/>
      <c r="AC147" s="107"/>
      <c r="AD147" s="107"/>
      <c r="AE147" s="107"/>
      <c r="AF147" s="107"/>
      <c r="AG147" s="107"/>
      <c r="AH147" s="107"/>
      <c r="AI147" s="107"/>
      <c r="AJ147" s="108"/>
      <c r="AK147" s="56"/>
      <c r="AL147" s="56"/>
      <c r="AM147" s="106" t="str">
        <f>IF([10]回答表!F17="下水道事業",IF([10]回答表!AD43="○",[10]回答表!B255,""),"")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IF([10]回答表!BD17="○",IF([10]回答表!X43="○","○",""),"")</f>
        <v/>
      </c>
      <c r="O159" s="98"/>
      <c r="P159" s="98"/>
      <c r="Q159" s="99"/>
      <c r="R159" s="39"/>
      <c r="S159" s="39"/>
      <c r="T159" s="39"/>
      <c r="U159" s="106" t="str">
        <f>IF([10]回答表!BD17="○",IF([10]回答表!X43="○",[10]回答表!B154,IF([10]回答表!AA43="○",[10]回答表!B201,"")),"")</f>
        <v/>
      </c>
      <c r="V159" s="107"/>
      <c r="W159" s="107"/>
      <c r="X159" s="107"/>
      <c r="Y159" s="107"/>
      <c r="Z159" s="107"/>
      <c r="AA159" s="107"/>
      <c r="AB159" s="107"/>
      <c r="AC159" s="107"/>
      <c r="AD159" s="107"/>
      <c r="AE159" s="107"/>
      <c r="AF159" s="107"/>
      <c r="AG159" s="107"/>
      <c r="AH159" s="107"/>
      <c r="AI159" s="107"/>
      <c r="AJ159" s="108"/>
      <c r="AK159" s="50"/>
      <c r="AL159" s="50"/>
      <c r="AM159" s="115" t="str">
        <f>IF([10]回答表!BD17="○",IF([10]回答表!X43="○",[10]回答表!B190,IF([10]回答表!AA43="○",[10]回答表!B238,"")),"")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IF([10]回答表!BD17="○",IF([10]回答表!X43="○",[10]回答表!E190,IF([10]回答表!AA43="○",[10]回答表!E238,"")),"")</f>
        <v/>
      </c>
      <c r="AN162" s="83"/>
      <c r="AO162" s="83"/>
      <c r="AP162" s="83"/>
      <c r="AQ162" s="82" t="str">
        <f>IF([10]回答表!BD17="○",IF([10]回答表!X43="○",[10]回答表!E191,IF([10]回答表!AA43="○",[10]回答表!E239,"")),"")</f>
        <v/>
      </c>
      <c r="AR162" s="83"/>
      <c r="AS162" s="83"/>
      <c r="AT162" s="83"/>
      <c r="AU162" s="82" t="str">
        <f>IF([10]回答表!BD17="○",IF([10]回答表!X43="○",[10]回答表!E192,IF([10]回答表!AA43="○",[10]回答表!E240,"")),"")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IF([10]回答表!BD17="○",IF([10]回答表!AA43="○","○",""),"")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IF([10]回答表!BD17="○",IF([10]回答表!AD43="○","○",""),"")</f>
        <v/>
      </c>
      <c r="O171" s="98"/>
      <c r="P171" s="98"/>
      <c r="Q171" s="99"/>
      <c r="R171" s="39"/>
      <c r="S171" s="39"/>
      <c r="T171" s="39"/>
      <c r="U171" s="106" t="str">
        <f>IF([10]回答表!BD17="○",IF([10]回答表!AD43="○",[10]回答表!B249,""),"")</f>
        <v/>
      </c>
      <c r="V171" s="107"/>
      <c r="W171" s="107"/>
      <c r="X171" s="107"/>
      <c r="Y171" s="107"/>
      <c r="Z171" s="107"/>
      <c r="AA171" s="107"/>
      <c r="AB171" s="107"/>
      <c r="AC171" s="107"/>
      <c r="AD171" s="107"/>
      <c r="AE171" s="107"/>
      <c r="AF171" s="107"/>
      <c r="AG171" s="107"/>
      <c r="AH171" s="107"/>
      <c r="AI171" s="107"/>
      <c r="AJ171" s="108"/>
      <c r="AK171" s="56"/>
      <c r="AL171" s="56"/>
      <c r="AM171" s="106" t="str">
        <f>IF([10]回答表!BD17="○",IF([10]回答表!AD43="○",[10]回答表!B255,""),"")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IF([10]回答表!X44="○","○","")</f>
        <v/>
      </c>
      <c r="O183" s="98"/>
      <c r="P183" s="98"/>
      <c r="Q183" s="99"/>
      <c r="R183" s="39"/>
      <c r="S183" s="39"/>
      <c r="T183" s="39"/>
      <c r="U183" s="106" t="str">
        <f>IF([10]回答表!X44="○",[10]回答表!B266,IF([10]回答表!AA44="○",[10]回答表!B283,""))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IF([10]回答表!X44="○",[10]回答表!U272,IF([10]回答表!AA44="○",[10]回答表!U289,""))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IF([10]回答表!X44="○",[10]回答表!G272,IF([10]回答表!AA44="○",[10]回答表!G289,""))</f>
        <v/>
      </c>
      <c r="AN186" s="119"/>
      <c r="AO186" s="119"/>
      <c r="AP186" s="119"/>
      <c r="AQ186" s="119"/>
      <c r="AR186" s="119"/>
      <c r="AS186" s="119"/>
      <c r="AT186" s="120"/>
      <c r="AU186" s="118" t="str">
        <f>IF([10]回答表!X44="○",[10]回答表!G273,IF([10]回答表!AA44="○",[10]回答表!G290,""))</f>
        <v/>
      </c>
      <c r="AV186" s="119"/>
      <c r="AW186" s="119"/>
      <c r="AX186" s="119"/>
      <c r="AY186" s="119"/>
      <c r="AZ186" s="119"/>
      <c r="BA186" s="119"/>
      <c r="BB186" s="120"/>
      <c r="BC186" s="40"/>
      <c r="BD186" s="35"/>
      <c r="BE186" s="82" t="str">
        <f>IF([10]回答表!X44="○",[10]回答表!X272,IF([10]回答表!AA44="○",[10]回答表!X289,""))</f>
        <v/>
      </c>
      <c r="BF186" s="83"/>
      <c r="BG186" s="83"/>
      <c r="BH186" s="83"/>
      <c r="BI186" s="82" t="str">
        <f>IF([10]回答表!X44="○",[10]回答表!X273,IF([10]回答表!AA44="○",[10]回答表!X290,""))</f>
        <v/>
      </c>
      <c r="BJ186" s="83"/>
      <c r="BK186" s="83"/>
      <c r="BL186" s="86"/>
      <c r="BM186" s="82" t="str">
        <f>IF([10]回答表!X44="○",[10]回答表!X274,IF([10]回答表!AA44="○",[10]回答表!X291,""))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IF([10]回答表!AA44="○","○","")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IF([10]回答表!AD44="○","○","")</f>
        <v/>
      </c>
      <c r="O195" s="98"/>
      <c r="P195" s="98"/>
      <c r="Q195" s="99"/>
      <c r="R195" s="39"/>
      <c r="S195" s="39"/>
      <c r="T195" s="39"/>
      <c r="U195" s="106" t="str">
        <f>IF([10]回答表!AD44="○",[10]回答表!B296,"")</f>
        <v/>
      </c>
      <c r="V195" s="107"/>
      <c r="W195" s="107"/>
      <c r="X195" s="107"/>
      <c r="Y195" s="107"/>
      <c r="Z195" s="107"/>
      <c r="AA195" s="107"/>
      <c r="AB195" s="107"/>
      <c r="AC195" s="107"/>
      <c r="AD195" s="107"/>
      <c r="AE195" s="107"/>
      <c r="AF195" s="107"/>
      <c r="AG195" s="107"/>
      <c r="AH195" s="107"/>
      <c r="AI195" s="107"/>
      <c r="AJ195" s="108"/>
      <c r="AK195" s="61"/>
      <c r="AL195" s="61"/>
      <c r="AM195" s="106" t="str">
        <f>IF([10]回答表!AD44="○",[10]回答表!B302,"")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IF([10]回答表!X45="○","○","")</f>
        <v/>
      </c>
      <c r="O207" s="98"/>
      <c r="P207" s="98"/>
      <c r="Q207" s="99"/>
      <c r="R207" s="39"/>
      <c r="S207" s="39"/>
      <c r="T207" s="39"/>
      <c r="U207" s="106" t="str">
        <f>IF([10]回答表!X45="○",[10]回答表!B314,IF([10]回答表!AA45="○",[10]回答表!B337,""))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IF([10]回答表!X45="○",[10]回答表!B320,"")</f>
        <v/>
      </c>
      <c r="AO207" s="164"/>
      <c r="AP207" s="164"/>
      <c r="AQ207" s="164"/>
      <c r="AR207" s="164"/>
      <c r="AS207" s="164"/>
      <c r="AT207" s="164"/>
      <c r="AU207" s="164"/>
      <c r="AV207" s="164"/>
      <c r="AW207" s="164"/>
      <c r="AX207" s="164"/>
      <c r="AY207" s="164"/>
      <c r="AZ207" s="164"/>
      <c r="BA207" s="164"/>
      <c r="BB207" s="165"/>
      <c r="BC207" s="40"/>
      <c r="BD207" s="35"/>
      <c r="BE207" s="115" t="str">
        <f>IF([10]回答表!X45="○",[10]回答表!B326,IF([10]回答表!AA45="○",[10]回答表!B343,""))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IF([10]回答表!X45="○",[10]回答表!E326,IF([10]回答表!AA45="○",[10]回答表!E343,""))</f>
        <v/>
      </c>
      <c r="BF210" s="83"/>
      <c r="BG210" s="83"/>
      <c r="BH210" s="83"/>
      <c r="BI210" s="82" t="str">
        <f>IF([10]回答表!X45="○",[10]回答表!E327,IF([10]回答表!AA45="○",[10]回答表!E344,""))</f>
        <v/>
      </c>
      <c r="BJ210" s="83"/>
      <c r="BK210" s="83"/>
      <c r="BL210" s="86"/>
      <c r="BM210" s="82" t="str">
        <f>IF([10]回答表!X45="○",[10]回答表!E328,IF([10]回答表!AA45="○",[10]回答表!E345,""))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IF([10]回答表!AA45="○","○","")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IF([10]回答表!AD45="○","○","")</f>
        <v/>
      </c>
      <c r="O219" s="98"/>
      <c r="P219" s="98"/>
      <c r="Q219" s="99"/>
      <c r="R219" s="39"/>
      <c r="S219" s="39"/>
      <c r="T219" s="39"/>
      <c r="U219" s="106" t="str">
        <f>IF([10]回答表!AD45="○",[10]回答表!B350,"")</f>
        <v/>
      </c>
      <c r="V219" s="107"/>
      <c r="W219" s="107"/>
      <c r="X219" s="107"/>
      <c r="Y219" s="107"/>
      <c r="Z219" s="107"/>
      <c r="AA219" s="107"/>
      <c r="AB219" s="107"/>
      <c r="AC219" s="107"/>
      <c r="AD219" s="107"/>
      <c r="AE219" s="107"/>
      <c r="AF219" s="107"/>
      <c r="AG219" s="107"/>
      <c r="AH219" s="107"/>
      <c r="AI219" s="107"/>
      <c r="AJ219" s="108"/>
      <c r="AK219" s="61"/>
      <c r="AL219" s="61"/>
      <c r="AM219" s="106" t="str">
        <f>IF([10]回答表!AD45="○",[10]回答表!B356,"")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IF([10]回答表!X46="○","○","")</f>
        <v/>
      </c>
      <c r="O231" s="98"/>
      <c r="P231" s="98"/>
      <c r="Q231" s="99"/>
      <c r="R231" s="39"/>
      <c r="S231" s="39"/>
      <c r="T231" s="39"/>
      <c r="U231" s="106" t="str">
        <f>IF([10]回答表!X46="○",[10]回答表!B368,IF([10]回答表!AA46="○",[10]回答表!B382,""))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IF([10]回答表!X46="○",[10]回答表!BC375,IF([10]回答表!AA46="○",[10]回答表!BC389,""))</f>
        <v/>
      </c>
      <c r="AR231" s="150"/>
      <c r="AS231" s="150"/>
      <c r="AT231" s="150"/>
      <c r="AU231" s="155" t="s">
        <v>63</v>
      </c>
      <c r="AV231" s="156"/>
      <c r="AW231" s="156"/>
      <c r="AX231" s="157"/>
      <c r="AY231" s="150" t="str">
        <f>IF([10]回答表!X46="○",[10]回答表!BC380,IF([10]回答表!AA46="○",[10]回答表!BC394,""))</f>
        <v/>
      </c>
      <c r="AZ231" s="150"/>
      <c r="BA231" s="150"/>
      <c r="BB231" s="150"/>
      <c r="BC231" s="40"/>
      <c r="BD231" s="35"/>
      <c r="BE231" s="115" t="str">
        <f>IF([10]回答表!X46="○",[10]回答表!S374,IF([10]回答表!AA46="○",[10]回答表!S388,""))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IF([10]回答表!X46="○",[10]回答表!BC376,IF([10]回答表!AA46="○",[10]回答表!BC390,""))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IF([10]回答表!X46="○",[10]回答表!V374,IF([10]回答表!AA46="○",[10]回答表!V388,""))</f>
        <v/>
      </c>
      <c r="BF234" s="83"/>
      <c r="BG234" s="83"/>
      <c r="BH234" s="83"/>
      <c r="BI234" s="82" t="str">
        <f>IF([10]回答表!X46="○",[10]回答表!V375,IF([10]回答表!AA46="○",[10]回答表!V389,""))</f>
        <v/>
      </c>
      <c r="BJ234" s="83"/>
      <c r="BK234" s="83"/>
      <c r="BL234" s="86"/>
      <c r="BM234" s="82" t="str">
        <f>IF([10]回答表!X46="○",[10]回答表!V376,IF([10]回答表!AA46="○",[10]回答表!V390,""))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IF([10]回答表!X46="○",[10]回答表!BC377,IF([10]回答表!AA46="○",[10]回答表!BC391,""))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IF([10]回答表!X46="○",[10]回答表!BC381,IF([10]回答表!AA46="○",[10]回答表!BC395,""))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IF([10]回答表!AA46="○","○","")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IF([10]回答表!X46="○",[10]回答表!BC378,IF([10]回答表!AA46="○",[10]回答表!BC392,""))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IF([10]回答表!X46="○",[10]回答表!BC379,IF([10]回答表!AA46="○",[10]回答表!BC393,""))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IF([10]回答表!AD46="○","○","")</f>
        <v/>
      </c>
      <c r="O243" s="98"/>
      <c r="P243" s="98"/>
      <c r="Q243" s="99"/>
      <c r="R243" s="39"/>
      <c r="S243" s="39"/>
      <c r="T243" s="39"/>
      <c r="U243" s="106" t="str">
        <f>IF([10]回答表!AD46="○",[10]回答表!B396,"")</f>
        <v/>
      </c>
      <c r="V243" s="107"/>
      <c r="W243" s="107"/>
      <c r="X243" s="107"/>
      <c r="Y243" s="107"/>
      <c r="Z243" s="107"/>
      <c r="AA243" s="107"/>
      <c r="AB243" s="107"/>
      <c r="AC243" s="107"/>
      <c r="AD243" s="107"/>
      <c r="AE243" s="107"/>
      <c r="AF243" s="107"/>
      <c r="AG243" s="107"/>
      <c r="AH243" s="107"/>
      <c r="AI243" s="107"/>
      <c r="AJ243" s="108"/>
      <c r="AK243" s="56"/>
      <c r="AL243" s="56"/>
      <c r="AM243" s="106" t="str">
        <f>IF([10]回答表!AD46="○",[10]回答表!B402,"")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IF([10]回答表!X47="○","○","")</f>
        <v/>
      </c>
      <c r="O254" s="98"/>
      <c r="P254" s="98"/>
      <c r="Q254" s="99"/>
      <c r="R254" s="39"/>
      <c r="S254" s="39"/>
      <c r="T254" s="39"/>
      <c r="U254" s="106" t="str">
        <f>IF([10]回答表!X47="○",[10]回答表!B414,IF([10]回答表!AA47="○",[10]回答表!B431,""))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IF([10]回答表!X47="○",[10]回答表!B424,IF([10]回答表!AA47="○",[10]回答表!B441,""))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IF([10]回答表!X47="○",[10]回答表!G420,IF([10]回答表!AA47="○",[10]回答表!G437,""))</f>
        <v/>
      </c>
      <c r="AN256" s="119"/>
      <c r="AO256" s="119"/>
      <c r="AP256" s="119"/>
      <c r="AQ256" s="119"/>
      <c r="AR256" s="119"/>
      <c r="AS256" s="119"/>
      <c r="AT256" s="120"/>
      <c r="AU256" s="118" t="str">
        <f>IF([10]回答表!X47="○",[10]回答表!G421,IF([10]回答表!AA47="○",[10]回答表!G438,""))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IF([10]回答表!X47="○",[10]回答表!E424,IF([10]回答表!AA47="○",[10]回答表!E441,""))</f>
        <v/>
      </c>
      <c r="BF257" s="83"/>
      <c r="BG257" s="83"/>
      <c r="BH257" s="83"/>
      <c r="BI257" s="82" t="str">
        <f>IF([10]回答表!X47="○",[10]回答表!E425,IF([10]回答表!AA47="○",[10]回答表!E442,""))</f>
        <v/>
      </c>
      <c r="BJ257" s="83"/>
      <c r="BK257" s="83"/>
      <c r="BL257" s="86"/>
      <c r="BM257" s="82" t="str">
        <f>IF([10]回答表!X47="○",[10]回答表!E426,IF([10]回答表!AA47="○",[10]回答表!E443,""))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IF([10]回答表!AA47="○","○","")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IF([10]回答表!AD47="○","○","")</f>
        <v/>
      </c>
      <c r="O266" s="98"/>
      <c r="P266" s="98"/>
      <c r="Q266" s="99"/>
      <c r="R266" s="39"/>
      <c r="S266" s="39"/>
      <c r="T266" s="39"/>
      <c r="U266" s="106" t="str">
        <f>IF([10]回答表!AD47="○",[10]回答表!B448,"")</f>
        <v/>
      </c>
      <c r="V266" s="107"/>
      <c r="W266" s="107"/>
      <c r="X266" s="107"/>
      <c r="Y266" s="107"/>
      <c r="Z266" s="107"/>
      <c r="AA266" s="107"/>
      <c r="AB266" s="107"/>
      <c r="AC266" s="107"/>
      <c r="AD266" s="107"/>
      <c r="AE266" s="107"/>
      <c r="AF266" s="107"/>
      <c r="AG266" s="107"/>
      <c r="AH266" s="107"/>
      <c r="AI266" s="107"/>
      <c r="AJ266" s="108"/>
      <c r="AK266" s="50"/>
      <c r="AL266" s="50"/>
      <c r="AM266" s="106" t="str">
        <f>IF([10]回答表!AD47="○",[10]回答表!B454,"")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IF([10]回答表!R48="○",[10]回答表!B467,"")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212A4-45A4-46BA-BC2B-DA7F9A50642C}">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IF(COUNTIF([12]回答表!K15,"*")&gt;0,[12]回答表!K15,"")</f>
        <v>横手市</v>
      </c>
      <c r="D11" s="246"/>
      <c r="E11" s="246"/>
      <c r="F11" s="246"/>
      <c r="G11" s="246"/>
      <c r="H11" s="246"/>
      <c r="I11" s="246"/>
      <c r="J11" s="246"/>
      <c r="K11" s="246"/>
      <c r="L11" s="246"/>
      <c r="M11" s="246"/>
      <c r="N11" s="246"/>
      <c r="O11" s="246"/>
      <c r="P11" s="246"/>
      <c r="Q11" s="246"/>
      <c r="R11" s="246"/>
      <c r="S11" s="246"/>
      <c r="T11" s="246"/>
      <c r="U11" s="253" t="str">
        <f>IF(COUNTIF([12]回答表!F17,"*")&gt;0,[12]回答表!F17,"")</f>
        <v>病院事業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IF(COUNTIF([12]回答表!W17,"*")&gt;0,[12]回答表!W17,"")</f>
        <v>―</v>
      </c>
      <c r="AP11" s="248"/>
      <c r="AQ11" s="248"/>
      <c r="AR11" s="248"/>
      <c r="AS11" s="248"/>
      <c r="AT11" s="248"/>
      <c r="AU11" s="248"/>
      <c r="AV11" s="248"/>
      <c r="AW11" s="248"/>
      <c r="AX11" s="248"/>
      <c r="AY11" s="248"/>
      <c r="AZ11" s="248"/>
      <c r="BA11" s="248"/>
      <c r="BB11" s="248"/>
      <c r="BC11" s="248"/>
      <c r="BD11" s="248"/>
      <c r="BE11" s="249"/>
      <c r="BF11" s="252" t="str">
        <f>IF(COUNTIF([12]回答表!F19,"*")&gt;0,[12]回答表!F19,"")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IF([12]回答表!R41="○","○","")</f>
        <v/>
      </c>
      <c r="E24" s="122"/>
      <c r="F24" s="122"/>
      <c r="G24" s="122"/>
      <c r="H24" s="122"/>
      <c r="I24" s="122"/>
      <c r="J24" s="123"/>
      <c r="K24" s="121" t="str">
        <f>IF([12]回答表!R42="○","○","")</f>
        <v/>
      </c>
      <c r="L24" s="122"/>
      <c r="M24" s="122"/>
      <c r="N24" s="122"/>
      <c r="O24" s="122"/>
      <c r="P24" s="122"/>
      <c r="Q24" s="123"/>
      <c r="R24" s="121" t="str">
        <f>IF([12]回答表!R43="○","○","")</f>
        <v/>
      </c>
      <c r="S24" s="122"/>
      <c r="T24" s="122"/>
      <c r="U24" s="122"/>
      <c r="V24" s="122"/>
      <c r="W24" s="122"/>
      <c r="X24" s="123"/>
      <c r="Y24" s="121" t="str">
        <f>IF([12]回答表!R44="○","○","")</f>
        <v/>
      </c>
      <c r="Z24" s="122"/>
      <c r="AA24" s="122"/>
      <c r="AB24" s="122"/>
      <c r="AC24" s="122"/>
      <c r="AD24" s="122"/>
      <c r="AE24" s="123"/>
      <c r="AF24" s="121" t="str">
        <f>IF([12]回答表!R45="○","○","")</f>
        <v/>
      </c>
      <c r="AG24" s="122"/>
      <c r="AH24" s="122"/>
      <c r="AI24" s="122"/>
      <c r="AJ24" s="122"/>
      <c r="AK24" s="122"/>
      <c r="AL24" s="123"/>
      <c r="AM24" s="121" t="str">
        <f>IF([12]回答表!R46="○","○","")</f>
        <v/>
      </c>
      <c r="AN24" s="122"/>
      <c r="AO24" s="122"/>
      <c r="AP24" s="122"/>
      <c r="AQ24" s="122"/>
      <c r="AR24" s="122"/>
      <c r="AS24" s="123"/>
      <c r="AT24" s="121" t="str">
        <f>IF([12]回答表!R47="○","○","")</f>
        <v/>
      </c>
      <c r="AU24" s="122"/>
      <c r="AV24" s="122"/>
      <c r="AW24" s="122"/>
      <c r="AX24" s="122"/>
      <c r="AY24" s="122"/>
      <c r="AZ24" s="123"/>
      <c r="BA24" s="19"/>
      <c r="BB24" s="118" t="str">
        <f>IF([12]回答表!R48="○","○","")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IF([12]回答表!X41="○","○","")</f>
        <v/>
      </c>
      <c r="O36" s="98"/>
      <c r="P36" s="98"/>
      <c r="Q36" s="99"/>
      <c r="R36" s="39"/>
      <c r="S36" s="39"/>
      <c r="T36" s="39"/>
      <c r="U36" s="106" t="str">
        <f>IF([12]回答表!X41="○",[12]回答表!B56,IF([12]回答表!AA41="○",[12]回答表!B76,""))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IF([12]回答表!X41="○",[12]回答表!S62,IF([12]回答表!AA41="○",[12]回答表!S82,""))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IF([12]回答表!X41="○",[12]回答表!G62,IF([12]回答表!AA41="○",[12]回答表!G82,""))</f>
        <v/>
      </c>
      <c r="AN38" s="119"/>
      <c r="AO38" s="119"/>
      <c r="AP38" s="119"/>
      <c r="AQ38" s="119"/>
      <c r="AR38" s="119"/>
      <c r="AS38" s="119"/>
      <c r="AT38" s="120"/>
      <c r="AU38" s="118" t="str">
        <f>IF([12]回答表!X41="○",[12]回答表!G63,IF([12]回答表!AA41="○",[12]回答表!G83,""))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IF([12]回答表!X41="○",[12]回答表!V62,IF([12]回答表!AA41="○",[12]回答表!V82,""))</f>
        <v/>
      </c>
      <c r="BF39" s="199"/>
      <c r="BG39" s="199"/>
      <c r="BH39" s="200"/>
      <c r="BI39" s="82" t="str">
        <f>IF([12]回答表!X41="○",[12]回答表!V63,IF([12]回答表!AA41="○",[12]回答表!V83,""))</f>
        <v/>
      </c>
      <c r="BJ39" s="199"/>
      <c r="BK39" s="199"/>
      <c r="BL39" s="200"/>
      <c r="BM39" s="82" t="str">
        <f>IF([12]回答表!X41="○",[12]回答表!V64,IF([12]回答表!AA41="○",[12]回答表!V84,""))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IF([12]回答表!X41="○",[12]回答表!O68,IF([12]回答表!AA41="○",[12]回答表!O88,""))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IF([12]回答表!X41="○",[12]回答表!O69,IF([12]回答表!AA41="○",[12]回答表!O89,""))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IF([12]回答表!AA41="○","○","")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IF([12]回答表!X41="○",[12]回答表!O70,IF([12]回答表!AA41="○",[12]回答表!O90,""))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IF([12]回答表!X41="○",[12]回答表!O71,IF([12]回答表!AA41="○",[12]回答表!O91,""))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IF([12]回答表!X41="○",[12]回答表!AG68,IF([12]回答表!AA41="○",[12]回答表!AG88,""))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IF([12]回答表!X41="○",[12]回答表!AG69,IF([12]回答表!AA41="○",[12]回答表!AG89,""))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IF([12]回答表!X41="○",[12]回答表!AG70,IF([12]回答表!AA41="○",[12]回答表!AG90,""))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IF([12]回答表!AD41="○","○","")</f>
        <v/>
      </c>
      <c r="O52" s="98"/>
      <c r="P52" s="98"/>
      <c r="Q52" s="99"/>
      <c r="R52" s="39"/>
      <c r="S52" s="39"/>
      <c r="T52" s="39"/>
      <c r="U52" s="106" t="str">
        <f>IF([12]回答表!AD41="○",[12]回答表!B96,"")</f>
        <v/>
      </c>
      <c r="V52" s="107"/>
      <c r="W52" s="107"/>
      <c r="X52" s="107"/>
      <c r="Y52" s="107"/>
      <c r="Z52" s="107"/>
      <c r="AA52" s="107"/>
      <c r="AB52" s="107"/>
      <c r="AC52" s="107"/>
      <c r="AD52" s="107"/>
      <c r="AE52" s="107"/>
      <c r="AF52" s="107"/>
      <c r="AG52" s="107"/>
      <c r="AH52" s="107"/>
      <c r="AI52" s="107"/>
      <c r="AJ52" s="108"/>
      <c r="AK52" s="56"/>
      <c r="AL52" s="56"/>
      <c r="AM52" s="106" t="str">
        <f>IF([12]回答表!AD41="○",[12]回答表!B101,"")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IF([12]回答表!X42="○","○","")</f>
        <v/>
      </c>
      <c r="O63" s="98"/>
      <c r="P63" s="98"/>
      <c r="Q63" s="99"/>
      <c r="R63" s="39"/>
      <c r="S63" s="39"/>
      <c r="T63" s="39"/>
      <c r="U63" s="106" t="str">
        <f>IF([12]回答表!X42="○",[12]回答表!B111,IF([12]回答表!AA42="○",[12]回答表!B124,""))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IF([12]回答表!X42="○",[12]回答表!S117,IF([12]回答表!AA42="○",[12]回答表!S130,""))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IF([12]回答表!X42="○",[12]回答表!J117,IF([12]回答表!AA42="○",[12]回答表!J130,""))</f>
        <v/>
      </c>
      <c r="AN66" s="119"/>
      <c r="AO66" s="119"/>
      <c r="AP66" s="119"/>
      <c r="AQ66" s="119"/>
      <c r="AR66" s="119"/>
      <c r="AS66" s="119"/>
      <c r="AT66" s="120"/>
      <c r="AU66" s="118" t="str">
        <f>IF([12]回答表!X42="○",[12]回答表!J118,IF([12]回答表!AA42="○",[12]回答表!J131,""))</f>
        <v/>
      </c>
      <c r="AV66" s="119"/>
      <c r="AW66" s="119"/>
      <c r="AX66" s="119"/>
      <c r="AY66" s="119"/>
      <c r="AZ66" s="119"/>
      <c r="BA66" s="119"/>
      <c r="BB66" s="120"/>
      <c r="BC66" s="40"/>
      <c r="BD66" s="35"/>
      <c r="BE66" s="82" t="str">
        <f>IF([12]回答表!X42="○",[12]回答表!V117,IF([12]回答表!AA42="○",[12]回答表!V130,""))</f>
        <v/>
      </c>
      <c r="BF66" s="83"/>
      <c r="BG66" s="83"/>
      <c r="BH66" s="83"/>
      <c r="BI66" s="82" t="str">
        <f>IF([12]回答表!X42="○",[12]回答表!V118,IF([12]回答表!AA42="○",[12]回答表!V131,""))</f>
        <v/>
      </c>
      <c r="BJ66" s="83"/>
      <c r="BK66" s="83"/>
      <c r="BL66" s="83"/>
      <c r="BM66" s="82" t="str">
        <f>IF([12]回答表!X42="○",[12]回答表!V119,IF([12]回答表!AA42="○",[12]回答表!V132,""))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IF([12]回答表!AA42="○","○","")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IF([12]回答表!AD42="○","○","")</f>
        <v/>
      </c>
      <c r="O75" s="98"/>
      <c r="P75" s="98"/>
      <c r="Q75" s="99"/>
      <c r="R75" s="39"/>
      <c r="S75" s="39"/>
      <c r="T75" s="39"/>
      <c r="U75" s="106" t="str">
        <f>IF([12]回答表!AD42="○",[12]回答表!B137,"")</f>
        <v/>
      </c>
      <c r="V75" s="107"/>
      <c r="W75" s="107"/>
      <c r="X75" s="107"/>
      <c r="Y75" s="107"/>
      <c r="Z75" s="107"/>
      <c r="AA75" s="107"/>
      <c r="AB75" s="107"/>
      <c r="AC75" s="107"/>
      <c r="AD75" s="107"/>
      <c r="AE75" s="107"/>
      <c r="AF75" s="107"/>
      <c r="AG75" s="107"/>
      <c r="AH75" s="107"/>
      <c r="AI75" s="107"/>
      <c r="AJ75" s="108"/>
      <c r="AK75" s="56"/>
      <c r="AL75" s="56"/>
      <c r="AM75" s="106" t="str">
        <f>IF([12]回答表!AD42="○",[12]回答表!B143,"")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IF([12]回答表!F17="水道事業",IF([12]回答表!X43="○","○",""),"")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IF([12]回答表!F17="水道事業",IF([12]回答表!X43="○",[12]回答表!B154,IF([12]回答表!AA43="○",[12]回答表!B201,"")),"")</f>
        <v/>
      </c>
      <c r="AN87" s="107"/>
      <c r="AO87" s="107"/>
      <c r="AP87" s="107"/>
      <c r="AQ87" s="107"/>
      <c r="AR87" s="107"/>
      <c r="AS87" s="107"/>
      <c r="AT87" s="107"/>
      <c r="AU87" s="107"/>
      <c r="AV87" s="107"/>
      <c r="AW87" s="107"/>
      <c r="AX87" s="107"/>
      <c r="AY87" s="107"/>
      <c r="AZ87" s="107"/>
      <c r="BA87" s="107"/>
      <c r="BB87" s="108"/>
      <c r="BC87" s="40"/>
      <c r="BD87" s="35"/>
      <c r="BE87" s="115" t="str">
        <f>IF([12]回答表!F17="水道事業",IF([12]回答表!X43="○",[12]回答表!B190,IF([12]回答表!AA43="○",[12]回答表!B238,"")),"")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IF([12]回答表!F17="水道事業",IF([12]回答表!X43="○",[12]回答表!J162,IF([12]回答表!AA43="○",[12]回答表!J209,"")),"")</f>
        <v/>
      </c>
      <c r="V89" s="119"/>
      <c r="W89" s="119"/>
      <c r="X89" s="119"/>
      <c r="Y89" s="119"/>
      <c r="Z89" s="119"/>
      <c r="AA89" s="119"/>
      <c r="AB89" s="120"/>
      <c r="AC89" s="118" t="str">
        <f>IF([12]回答表!F17="水道事業",IF([12]回答表!X43="○",[12]回答表!J169,IF([12]回答表!AA43="○",[12]回答表!J216,"")),"")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IF([12]回答表!F17="水道事業",IF([12]回答表!X43="○",[12]回答表!E190,IF([12]回答表!AA43="○",[12]回答表!E238,"")),"")</f>
        <v/>
      </c>
      <c r="BF90" s="83"/>
      <c r="BG90" s="83"/>
      <c r="BH90" s="83"/>
      <c r="BI90" s="82" t="str">
        <f>IF([12]回答表!F17="水道事業",IF([12]回答表!X43="○",[12]回答表!E191,IF([12]回答表!AA43="○",[12]回答表!E239,"")),"")</f>
        <v/>
      </c>
      <c r="BJ90" s="83"/>
      <c r="BK90" s="83"/>
      <c r="BL90" s="83"/>
      <c r="BM90" s="82" t="str">
        <f>IF([12]回答表!F17="水道事業",IF([12]回答表!X43="○",[12]回答表!E192,IF([12]回答表!AA43="○",[12]回答表!E240,"")),"")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IF([12]回答表!F17="水道事業",IF([12]回答表!AA43="○","○",""),"")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IF([12]回答表!F17="水道事業",IF([12]回答表!X43="○",[12]回答表!J172,IF([12]回答表!AA43="○",[12]回答表!J219,"")),"")</f>
        <v/>
      </c>
      <c r="V94" s="119"/>
      <c r="W94" s="119"/>
      <c r="X94" s="119"/>
      <c r="Y94" s="119"/>
      <c r="Z94" s="119"/>
      <c r="AA94" s="119"/>
      <c r="AB94" s="120"/>
      <c r="AC94" s="118" t="str">
        <f>IF([12]回答表!F17="水道事業",IF([12]回答表!X43="○",[12]回答表!J176,IF([12]回答表!AA43="○",[12]回答表!J223,"")),"")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IF([12]回答表!F17="水道事業",IF([12]回答表!AD43="○","○",""),"")</f>
        <v/>
      </c>
      <c r="O99" s="98"/>
      <c r="P99" s="98"/>
      <c r="Q99" s="99"/>
      <c r="R99" s="39"/>
      <c r="S99" s="39"/>
      <c r="T99" s="39"/>
      <c r="U99" s="106" t="str">
        <f>IF([12]回答表!F17="水道事業",IF([12]回答表!AD43="○",[12]回答表!B249,""),"")</f>
        <v/>
      </c>
      <c r="V99" s="107"/>
      <c r="W99" s="107"/>
      <c r="X99" s="107"/>
      <c r="Y99" s="107"/>
      <c r="Z99" s="107"/>
      <c r="AA99" s="107"/>
      <c r="AB99" s="107"/>
      <c r="AC99" s="107"/>
      <c r="AD99" s="107"/>
      <c r="AE99" s="107"/>
      <c r="AF99" s="107"/>
      <c r="AG99" s="107"/>
      <c r="AH99" s="107"/>
      <c r="AI99" s="107"/>
      <c r="AJ99" s="108"/>
      <c r="AK99" s="56"/>
      <c r="AL99" s="56"/>
      <c r="AM99" s="106" t="str">
        <f>IF([12]回答表!F17="水道事業",IF([12]回答表!AD43="○",[12]回答表!B255,""),"")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IF([12]回答表!F17="簡易水道事業",IF([12]回答表!X43="○","○",""),"")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IF([12]回答表!F17="簡易水道事業",IF([12]回答表!X43="○",[12]回答表!B154,IF([12]回答表!AA43="○",[12]回答表!B201,"")),"")</f>
        <v/>
      </c>
      <c r="AN111" s="107"/>
      <c r="AO111" s="107"/>
      <c r="AP111" s="107"/>
      <c r="AQ111" s="107"/>
      <c r="AR111" s="107"/>
      <c r="AS111" s="107"/>
      <c r="AT111" s="107"/>
      <c r="AU111" s="107"/>
      <c r="AV111" s="107"/>
      <c r="AW111" s="107"/>
      <c r="AX111" s="107"/>
      <c r="AY111" s="107"/>
      <c r="AZ111" s="107"/>
      <c r="BA111" s="107"/>
      <c r="BB111" s="108"/>
      <c r="BC111" s="40"/>
      <c r="BD111" s="35"/>
      <c r="BE111" s="115" t="str">
        <f>IF([12]回答表!F17="簡易水道事業",IF([12]回答表!X43="○",[12]回答表!B190,IF([12]回答表!AA43="○",[12]回答表!B238,"")),"")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IF([12]回答表!F17="簡易水道事業",IF([12]回答表!X43="○",[12]回答表!Y181,IF([12]回答表!AA43="○",[12]回答表!Y229,"")),"")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IF([12]回答表!F17="簡易水道事業",IF([12]回答表!X43="○",[12]回答表!E190,IF([12]回答表!AA43="○",[12]回答表!E238,"")),"")</f>
        <v/>
      </c>
      <c r="BF114" s="83"/>
      <c r="BG114" s="83"/>
      <c r="BH114" s="83"/>
      <c r="BI114" s="82" t="str">
        <f>IF([12]回答表!F17="簡易水道事業",IF([12]回答表!X43="○",[12]回答表!E191,IF([12]回答表!AA43="○",[12]回答表!E239,"")),"")</f>
        <v/>
      </c>
      <c r="BJ114" s="83"/>
      <c r="BK114" s="83"/>
      <c r="BL114" s="83"/>
      <c r="BM114" s="82" t="str">
        <f>IF([12]回答表!F17="簡易水道事業",IF([12]回答表!X43="○",[12]回答表!E192,IF([12]回答表!AA43="○",[12]回答表!E240,"")),"")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IF([12]回答表!F17="簡易水道事業",IF([12]回答表!AA43="○","○",""),"")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IF([12]回答表!F17="簡易水道事業",IF([12]回答表!X43="○",[12]回答表!Y182,IF([12]回答表!AA43="○",[12]回答表!Y230,"")),"")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IF([12]回答表!F17="簡易水道事業",IF([12]回答表!AD43="○","○",""),"")</f>
        <v/>
      </c>
      <c r="O123" s="98"/>
      <c r="P123" s="98"/>
      <c r="Q123" s="99"/>
      <c r="R123" s="39"/>
      <c r="S123" s="39"/>
      <c r="T123" s="39"/>
      <c r="U123" s="106" t="str">
        <f>IF([12]回答表!F17="簡易水道事業",IF([12]回答表!AD43="○",[12]回答表!B249,""),"")</f>
        <v/>
      </c>
      <c r="V123" s="107"/>
      <c r="W123" s="107"/>
      <c r="X123" s="107"/>
      <c r="Y123" s="107"/>
      <c r="Z123" s="107"/>
      <c r="AA123" s="107"/>
      <c r="AB123" s="107"/>
      <c r="AC123" s="107"/>
      <c r="AD123" s="107"/>
      <c r="AE123" s="107"/>
      <c r="AF123" s="107"/>
      <c r="AG123" s="107"/>
      <c r="AH123" s="107"/>
      <c r="AI123" s="107"/>
      <c r="AJ123" s="108"/>
      <c r="AK123" s="56"/>
      <c r="AL123" s="56"/>
      <c r="AM123" s="106" t="str">
        <f>IF([12]回答表!F17="簡易水道事業",IF([12]回答表!AD43="○",[12]回答表!B255,""),"")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IF([12]回答表!F17="下水道事業",IF([12]回答表!X43="○","○",""),"")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IF([12]回答表!F17="下水道事業",IF([12]回答表!X43="○",[12]回答表!B154,IF([12]回答表!AA43="○",[12]回答表!B201,"")),"")</f>
        <v/>
      </c>
      <c r="AN135" s="107"/>
      <c r="AO135" s="107"/>
      <c r="AP135" s="107"/>
      <c r="AQ135" s="107"/>
      <c r="AR135" s="107"/>
      <c r="AS135" s="107"/>
      <c r="AT135" s="107"/>
      <c r="AU135" s="107"/>
      <c r="AV135" s="107"/>
      <c r="AW135" s="107"/>
      <c r="AX135" s="107"/>
      <c r="AY135" s="107"/>
      <c r="AZ135" s="107"/>
      <c r="BA135" s="107"/>
      <c r="BB135" s="108"/>
      <c r="BC135" s="40"/>
      <c r="BD135" s="35"/>
      <c r="BE135" s="115" t="str">
        <f>IF([12]回答表!F17="下水道事業",IF([12]回答表!X43="○",[12]回答表!B190,IF([12]回答表!AA43="○",[12]回答表!B238,"")),"")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IF([12]回答表!F17="下水道事業",IF([12]回答表!X43="○",[12]回答表!Y184,IF([12]回答表!AA43="○",[12]回答表!Y232,"")),"")</f>
        <v/>
      </c>
      <c r="V137" s="119"/>
      <c r="W137" s="119"/>
      <c r="X137" s="119"/>
      <c r="Y137" s="119"/>
      <c r="Z137" s="119"/>
      <c r="AA137" s="119"/>
      <c r="AB137" s="120"/>
      <c r="AC137" s="118" t="str">
        <f>IF([12]回答表!F17="下水道事業",IF([12]回答表!X43="○",[12]回答表!Y185,IF([12]回答表!AA43="○",[12]回答表!Y233,"")),"")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IF([12]回答表!F17="下水道事業",IF([12]回答表!X43="○",[12]回答表!E190,IF([12]回答表!AA43="○",[12]回答表!E238,"")),"")</f>
        <v/>
      </c>
      <c r="BF138" s="83"/>
      <c r="BG138" s="83"/>
      <c r="BH138" s="83"/>
      <c r="BI138" s="82" t="str">
        <f>IF([12]回答表!F17="下水道事業",IF([12]回答表!X43="○",[12]回答表!E191,IF([12]回答表!AA43="○",[12]回答表!E239,"")),"")</f>
        <v/>
      </c>
      <c r="BJ138" s="83"/>
      <c r="BK138" s="83"/>
      <c r="BL138" s="83"/>
      <c r="BM138" s="82" t="str">
        <f>IF([12]回答表!F17="下水道事業",IF([12]回答表!X43="○",[12]回答表!E192,IF([12]回答表!AA43="○",[12]回答表!E240,"")),"")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IF([12]回答表!F17="下水道事業",IF([12]回答表!AA43="○","○",""),"")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IF([12]回答表!F17="下水道事業",IF([12]回答表!X43="○",[12]回答表!Y186,IF([12]回答表!AA43="○",[12]回答表!Y234,"")),"")</f>
        <v/>
      </c>
      <c r="V142" s="119"/>
      <c r="W142" s="119"/>
      <c r="X142" s="119"/>
      <c r="Y142" s="119"/>
      <c r="Z142" s="119"/>
      <c r="AA142" s="119"/>
      <c r="AB142" s="120"/>
      <c r="AC142" s="118" t="str">
        <f>IF([12]回答表!F17="下水道事業",IF([12]回答表!X43="○",[12]回答表!Y187,IF([12]回答表!AA43="○",[12]回答表!Y235,"")),"")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IF([12]回答表!F17="下水道事業",IF([12]回答表!AD43="○","○",""),"")</f>
        <v/>
      </c>
      <c r="O147" s="98"/>
      <c r="P147" s="98"/>
      <c r="Q147" s="99"/>
      <c r="R147" s="39"/>
      <c r="S147" s="39"/>
      <c r="T147" s="39"/>
      <c r="U147" s="106" t="str">
        <f>IF([12]回答表!F17="下水道事業",IF([12]回答表!AD43="○",[12]回答表!B249,""),"")</f>
        <v/>
      </c>
      <c r="V147" s="107"/>
      <c r="W147" s="107"/>
      <c r="X147" s="107"/>
      <c r="Y147" s="107"/>
      <c r="Z147" s="107"/>
      <c r="AA147" s="107"/>
      <c r="AB147" s="107"/>
      <c r="AC147" s="107"/>
      <c r="AD147" s="107"/>
      <c r="AE147" s="107"/>
      <c r="AF147" s="107"/>
      <c r="AG147" s="107"/>
      <c r="AH147" s="107"/>
      <c r="AI147" s="107"/>
      <c r="AJ147" s="108"/>
      <c r="AK147" s="56"/>
      <c r="AL147" s="56"/>
      <c r="AM147" s="106" t="str">
        <f>IF([12]回答表!F17="下水道事業",IF([12]回答表!AD43="○",[12]回答表!B255,""),"")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IF([12]回答表!BD17="○",IF([12]回答表!X43="○","○",""),"")</f>
        <v/>
      </c>
      <c r="O159" s="98"/>
      <c r="P159" s="98"/>
      <c r="Q159" s="99"/>
      <c r="R159" s="39"/>
      <c r="S159" s="39"/>
      <c r="T159" s="39"/>
      <c r="U159" s="106" t="str">
        <f>IF([12]回答表!BD17="○",IF([12]回答表!X43="○",[12]回答表!B154,IF([12]回答表!AA43="○",[12]回答表!B201,"")),"")</f>
        <v/>
      </c>
      <c r="V159" s="107"/>
      <c r="W159" s="107"/>
      <c r="X159" s="107"/>
      <c r="Y159" s="107"/>
      <c r="Z159" s="107"/>
      <c r="AA159" s="107"/>
      <c r="AB159" s="107"/>
      <c r="AC159" s="107"/>
      <c r="AD159" s="107"/>
      <c r="AE159" s="107"/>
      <c r="AF159" s="107"/>
      <c r="AG159" s="107"/>
      <c r="AH159" s="107"/>
      <c r="AI159" s="107"/>
      <c r="AJ159" s="108"/>
      <c r="AK159" s="50"/>
      <c r="AL159" s="50"/>
      <c r="AM159" s="115" t="str">
        <f>IF([12]回答表!BD17="○",IF([12]回答表!X43="○",[12]回答表!B190,IF([12]回答表!AA43="○",[12]回答表!B238,"")),"")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IF([12]回答表!BD17="○",IF([12]回答表!X43="○",[12]回答表!E190,IF([12]回答表!AA43="○",[12]回答表!E238,"")),"")</f>
        <v/>
      </c>
      <c r="AN162" s="83"/>
      <c r="AO162" s="83"/>
      <c r="AP162" s="83"/>
      <c r="AQ162" s="82" t="str">
        <f>IF([12]回答表!BD17="○",IF([12]回答表!X43="○",[12]回答表!E191,IF([12]回答表!AA43="○",[12]回答表!E239,"")),"")</f>
        <v/>
      </c>
      <c r="AR162" s="83"/>
      <c r="AS162" s="83"/>
      <c r="AT162" s="83"/>
      <c r="AU162" s="82" t="str">
        <f>IF([12]回答表!BD17="○",IF([12]回答表!X43="○",[12]回答表!E192,IF([12]回答表!AA43="○",[12]回答表!E240,"")),"")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IF([12]回答表!BD17="○",IF([12]回答表!AA43="○","○",""),"")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IF([12]回答表!BD17="○",IF([12]回答表!AD43="○","○",""),"")</f>
        <v/>
      </c>
      <c r="O171" s="98"/>
      <c r="P171" s="98"/>
      <c r="Q171" s="99"/>
      <c r="R171" s="39"/>
      <c r="S171" s="39"/>
      <c r="T171" s="39"/>
      <c r="U171" s="106" t="str">
        <f>IF([12]回答表!BD17="○",IF([12]回答表!AD43="○",[12]回答表!B249,""),"")</f>
        <v/>
      </c>
      <c r="V171" s="107"/>
      <c r="W171" s="107"/>
      <c r="X171" s="107"/>
      <c r="Y171" s="107"/>
      <c r="Z171" s="107"/>
      <c r="AA171" s="107"/>
      <c r="AB171" s="107"/>
      <c r="AC171" s="107"/>
      <c r="AD171" s="107"/>
      <c r="AE171" s="107"/>
      <c r="AF171" s="107"/>
      <c r="AG171" s="107"/>
      <c r="AH171" s="107"/>
      <c r="AI171" s="107"/>
      <c r="AJ171" s="108"/>
      <c r="AK171" s="56"/>
      <c r="AL171" s="56"/>
      <c r="AM171" s="106" t="str">
        <f>IF([12]回答表!BD17="○",IF([12]回答表!AD43="○",[12]回答表!B255,""),"")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IF([12]回答表!X44="○","○","")</f>
        <v/>
      </c>
      <c r="O183" s="98"/>
      <c r="P183" s="98"/>
      <c r="Q183" s="99"/>
      <c r="R183" s="39"/>
      <c r="S183" s="39"/>
      <c r="T183" s="39"/>
      <c r="U183" s="106" t="str">
        <f>IF([12]回答表!X44="○",[12]回答表!B266,IF([12]回答表!AA44="○",[12]回答表!B283,""))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IF([12]回答表!X44="○",[12]回答表!U272,IF([12]回答表!AA44="○",[12]回答表!U289,""))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IF([12]回答表!X44="○",[12]回答表!G272,IF([12]回答表!AA44="○",[12]回答表!G289,""))</f>
        <v/>
      </c>
      <c r="AN186" s="119"/>
      <c r="AO186" s="119"/>
      <c r="AP186" s="119"/>
      <c r="AQ186" s="119"/>
      <c r="AR186" s="119"/>
      <c r="AS186" s="119"/>
      <c r="AT186" s="120"/>
      <c r="AU186" s="118" t="str">
        <f>IF([12]回答表!X44="○",[12]回答表!G273,IF([12]回答表!AA44="○",[12]回答表!G290,""))</f>
        <v/>
      </c>
      <c r="AV186" s="119"/>
      <c r="AW186" s="119"/>
      <c r="AX186" s="119"/>
      <c r="AY186" s="119"/>
      <c r="AZ186" s="119"/>
      <c r="BA186" s="119"/>
      <c r="BB186" s="120"/>
      <c r="BC186" s="40"/>
      <c r="BD186" s="35"/>
      <c r="BE186" s="82" t="str">
        <f>IF([12]回答表!X44="○",[12]回答表!X272,IF([12]回答表!AA44="○",[12]回答表!X289,""))</f>
        <v/>
      </c>
      <c r="BF186" s="83"/>
      <c r="BG186" s="83"/>
      <c r="BH186" s="83"/>
      <c r="BI186" s="82" t="str">
        <f>IF([12]回答表!X44="○",[12]回答表!X273,IF([12]回答表!AA44="○",[12]回答表!X290,""))</f>
        <v/>
      </c>
      <c r="BJ186" s="83"/>
      <c r="BK186" s="83"/>
      <c r="BL186" s="86"/>
      <c r="BM186" s="82" t="str">
        <f>IF([12]回答表!X44="○",[12]回答表!X274,IF([12]回答表!AA44="○",[12]回答表!X291,""))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IF([12]回答表!AA44="○","○","")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IF([12]回答表!AD44="○","○","")</f>
        <v/>
      </c>
      <c r="O195" s="98"/>
      <c r="P195" s="98"/>
      <c r="Q195" s="99"/>
      <c r="R195" s="39"/>
      <c r="S195" s="39"/>
      <c r="T195" s="39"/>
      <c r="U195" s="106" t="str">
        <f>IF([12]回答表!AD44="○",[12]回答表!B296,"")</f>
        <v/>
      </c>
      <c r="V195" s="107"/>
      <c r="W195" s="107"/>
      <c r="X195" s="107"/>
      <c r="Y195" s="107"/>
      <c r="Z195" s="107"/>
      <c r="AA195" s="107"/>
      <c r="AB195" s="107"/>
      <c r="AC195" s="107"/>
      <c r="AD195" s="107"/>
      <c r="AE195" s="107"/>
      <c r="AF195" s="107"/>
      <c r="AG195" s="107"/>
      <c r="AH195" s="107"/>
      <c r="AI195" s="107"/>
      <c r="AJ195" s="108"/>
      <c r="AK195" s="61"/>
      <c r="AL195" s="61"/>
      <c r="AM195" s="106" t="str">
        <f>IF([12]回答表!AD44="○",[12]回答表!B302,"")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IF([12]回答表!X45="○","○","")</f>
        <v/>
      </c>
      <c r="O207" s="98"/>
      <c r="P207" s="98"/>
      <c r="Q207" s="99"/>
      <c r="R207" s="39"/>
      <c r="S207" s="39"/>
      <c r="T207" s="39"/>
      <c r="U207" s="106" t="str">
        <f>IF([12]回答表!X45="○",[12]回答表!B314,IF([12]回答表!AA45="○",[12]回答表!B337,""))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IF([12]回答表!X45="○",[12]回答表!B320,"")</f>
        <v/>
      </c>
      <c r="AO207" s="164"/>
      <c r="AP207" s="164"/>
      <c r="AQ207" s="164"/>
      <c r="AR207" s="164"/>
      <c r="AS207" s="164"/>
      <c r="AT207" s="164"/>
      <c r="AU207" s="164"/>
      <c r="AV207" s="164"/>
      <c r="AW207" s="164"/>
      <c r="AX207" s="164"/>
      <c r="AY207" s="164"/>
      <c r="AZ207" s="164"/>
      <c r="BA207" s="164"/>
      <c r="BB207" s="165"/>
      <c r="BC207" s="40"/>
      <c r="BD207" s="35"/>
      <c r="BE207" s="115" t="str">
        <f>IF([12]回答表!X45="○",[12]回答表!B326,IF([12]回答表!AA45="○",[12]回答表!B343,""))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IF([12]回答表!X45="○",[12]回答表!E326,IF([12]回答表!AA45="○",[12]回答表!E343,""))</f>
        <v/>
      </c>
      <c r="BF210" s="83"/>
      <c r="BG210" s="83"/>
      <c r="BH210" s="83"/>
      <c r="BI210" s="82" t="str">
        <f>IF([12]回答表!X45="○",[12]回答表!E327,IF([12]回答表!AA45="○",[12]回答表!E344,""))</f>
        <v/>
      </c>
      <c r="BJ210" s="83"/>
      <c r="BK210" s="83"/>
      <c r="BL210" s="86"/>
      <c r="BM210" s="82" t="str">
        <f>IF([12]回答表!X45="○",[12]回答表!E328,IF([12]回答表!AA45="○",[12]回答表!E345,""))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IF([12]回答表!AA45="○","○","")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IF([12]回答表!AD45="○","○","")</f>
        <v/>
      </c>
      <c r="O219" s="98"/>
      <c r="P219" s="98"/>
      <c r="Q219" s="99"/>
      <c r="R219" s="39"/>
      <c r="S219" s="39"/>
      <c r="T219" s="39"/>
      <c r="U219" s="106" t="str">
        <f>IF([12]回答表!AD45="○",[12]回答表!B350,"")</f>
        <v/>
      </c>
      <c r="V219" s="107"/>
      <c r="W219" s="107"/>
      <c r="X219" s="107"/>
      <c r="Y219" s="107"/>
      <c r="Z219" s="107"/>
      <c r="AA219" s="107"/>
      <c r="AB219" s="107"/>
      <c r="AC219" s="107"/>
      <c r="AD219" s="107"/>
      <c r="AE219" s="107"/>
      <c r="AF219" s="107"/>
      <c r="AG219" s="107"/>
      <c r="AH219" s="107"/>
      <c r="AI219" s="107"/>
      <c r="AJ219" s="108"/>
      <c r="AK219" s="61"/>
      <c r="AL219" s="61"/>
      <c r="AM219" s="106" t="str">
        <f>IF([12]回答表!AD45="○",[12]回答表!B356,"")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IF([12]回答表!X46="○","○","")</f>
        <v/>
      </c>
      <c r="O231" s="98"/>
      <c r="P231" s="98"/>
      <c r="Q231" s="99"/>
      <c r="R231" s="39"/>
      <c r="S231" s="39"/>
      <c r="T231" s="39"/>
      <c r="U231" s="106" t="str">
        <f>IF([12]回答表!X46="○",[12]回答表!B368,IF([12]回答表!AA46="○",[12]回答表!B382,""))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IF([12]回答表!X46="○",[12]回答表!BC375,IF([12]回答表!AA46="○",[12]回答表!BC389,""))</f>
        <v/>
      </c>
      <c r="AR231" s="150"/>
      <c r="AS231" s="150"/>
      <c r="AT231" s="150"/>
      <c r="AU231" s="155" t="s">
        <v>63</v>
      </c>
      <c r="AV231" s="156"/>
      <c r="AW231" s="156"/>
      <c r="AX231" s="157"/>
      <c r="AY231" s="150" t="str">
        <f>IF([12]回答表!X46="○",[12]回答表!BC380,IF([12]回答表!AA46="○",[12]回答表!BC394,""))</f>
        <v/>
      </c>
      <c r="AZ231" s="150"/>
      <c r="BA231" s="150"/>
      <c r="BB231" s="150"/>
      <c r="BC231" s="40"/>
      <c r="BD231" s="35"/>
      <c r="BE231" s="115" t="str">
        <f>IF([12]回答表!X46="○",[12]回答表!S374,IF([12]回答表!AA46="○",[12]回答表!S388,""))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IF([12]回答表!X46="○",[12]回答表!BC376,IF([12]回答表!AA46="○",[12]回答表!BC390,""))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IF([12]回答表!X46="○",[12]回答表!V374,IF([12]回答表!AA46="○",[12]回答表!V388,""))</f>
        <v/>
      </c>
      <c r="BF234" s="83"/>
      <c r="BG234" s="83"/>
      <c r="BH234" s="83"/>
      <c r="BI234" s="82" t="str">
        <f>IF([12]回答表!X46="○",[12]回答表!V375,IF([12]回答表!AA46="○",[12]回答表!V389,""))</f>
        <v/>
      </c>
      <c r="BJ234" s="83"/>
      <c r="BK234" s="83"/>
      <c r="BL234" s="86"/>
      <c r="BM234" s="82" t="str">
        <f>IF([12]回答表!X46="○",[12]回答表!V376,IF([12]回答表!AA46="○",[12]回答表!V390,""))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IF([12]回答表!X46="○",[12]回答表!BC377,IF([12]回答表!AA46="○",[12]回答表!BC391,""))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IF([12]回答表!X46="○",[12]回答表!BC381,IF([12]回答表!AA46="○",[12]回答表!BC395,""))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IF([12]回答表!AA46="○","○","")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IF([12]回答表!X46="○",[12]回答表!BC378,IF([12]回答表!AA46="○",[12]回答表!BC392,""))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IF([12]回答表!X46="○",[12]回答表!BC379,IF([12]回答表!AA46="○",[12]回答表!BC393,""))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IF([12]回答表!AD46="○","○","")</f>
        <v/>
      </c>
      <c r="O243" s="98"/>
      <c r="P243" s="98"/>
      <c r="Q243" s="99"/>
      <c r="R243" s="39"/>
      <c r="S243" s="39"/>
      <c r="T243" s="39"/>
      <c r="U243" s="106" t="str">
        <f>IF([12]回答表!AD46="○",[12]回答表!B396,"")</f>
        <v/>
      </c>
      <c r="V243" s="107"/>
      <c r="W243" s="107"/>
      <c r="X243" s="107"/>
      <c r="Y243" s="107"/>
      <c r="Z243" s="107"/>
      <c r="AA243" s="107"/>
      <c r="AB243" s="107"/>
      <c r="AC243" s="107"/>
      <c r="AD243" s="107"/>
      <c r="AE243" s="107"/>
      <c r="AF243" s="107"/>
      <c r="AG243" s="107"/>
      <c r="AH243" s="107"/>
      <c r="AI243" s="107"/>
      <c r="AJ243" s="108"/>
      <c r="AK243" s="56"/>
      <c r="AL243" s="56"/>
      <c r="AM243" s="106" t="str">
        <f>IF([12]回答表!AD46="○",[12]回答表!B402,"")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IF([12]回答表!X47="○","○","")</f>
        <v/>
      </c>
      <c r="O254" s="98"/>
      <c r="P254" s="98"/>
      <c r="Q254" s="99"/>
      <c r="R254" s="39"/>
      <c r="S254" s="39"/>
      <c r="T254" s="39"/>
      <c r="U254" s="106" t="str">
        <f>IF([12]回答表!X47="○",[12]回答表!B414,IF([12]回答表!AA47="○",[12]回答表!B431,""))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IF([12]回答表!X47="○",[12]回答表!B424,IF([12]回答表!AA47="○",[12]回答表!B441,""))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IF([12]回答表!X47="○",[12]回答表!G420,IF([12]回答表!AA47="○",[12]回答表!G437,""))</f>
        <v/>
      </c>
      <c r="AN256" s="119"/>
      <c r="AO256" s="119"/>
      <c r="AP256" s="119"/>
      <c r="AQ256" s="119"/>
      <c r="AR256" s="119"/>
      <c r="AS256" s="119"/>
      <c r="AT256" s="120"/>
      <c r="AU256" s="118" t="str">
        <f>IF([12]回答表!X47="○",[12]回答表!G421,IF([12]回答表!AA47="○",[12]回答表!G438,""))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IF([12]回答表!X47="○",[12]回答表!E424,IF([12]回答表!AA47="○",[12]回答表!E441,""))</f>
        <v/>
      </c>
      <c r="BF257" s="83"/>
      <c r="BG257" s="83"/>
      <c r="BH257" s="83"/>
      <c r="BI257" s="82" t="str">
        <f>IF([12]回答表!X47="○",[12]回答表!E425,IF([12]回答表!AA47="○",[12]回答表!E442,""))</f>
        <v/>
      </c>
      <c r="BJ257" s="83"/>
      <c r="BK257" s="83"/>
      <c r="BL257" s="86"/>
      <c r="BM257" s="82" t="str">
        <f>IF([12]回答表!X47="○",[12]回答表!E426,IF([12]回答表!AA47="○",[12]回答表!E443,""))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IF([12]回答表!AA47="○","○","")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IF([12]回答表!AD47="○","○","")</f>
        <v/>
      </c>
      <c r="O266" s="98"/>
      <c r="P266" s="98"/>
      <c r="Q266" s="99"/>
      <c r="R266" s="39"/>
      <c r="S266" s="39"/>
      <c r="T266" s="39"/>
      <c r="U266" s="106" t="str">
        <f>IF([12]回答表!AD47="○",[12]回答表!B448,"")</f>
        <v/>
      </c>
      <c r="V266" s="107"/>
      <c r="W266" s="107"/>
      <c r="X266" s="107"/>
      <c r="Y266" s="107"/>
      <c r="Z266" s="107"/>
      <c r="AA266" s="107"/>
      <c r="AB266" s="107"/>
      <c r="AC266" s="107"/>
      <c r="AD266" s="107"/>
      <c r="AE266" s="107"/>
      <c r="AF266" s="107"/>
      <c r="AG266" s="107"/>
      <c r="AH266" s="107"/>
      <c r="AI266" s="107"/>
      <c r="AJ266" s="108"/>
      <c r="AK266" s="50"/>
      <c r="AL266" s="50"/>
      <c r="AM266" s="106" t="str">
        <f>IF([12]回答表!AD47="○",[12]回答表!B454,"")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IF([12]回答表!R48="○",[12]回答表!B467,"")</f>
        <v>現行の経営体制・手法で、健全な事業運営が実施できており、今後も現行の経営形態（地方公営企業法全部適用）のメリットを最大限に生かして、健全な事業運営が実施できると見込んでいるため。</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8E53-1895-43A3-B589-2C1433BF2B29}">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IF(COUNTIF([1]回答表!K15,"*")&gt;0,[1]回答表!K15,"")</f>
        <v>横手市</v>
      </c>
      <c r="D11" s="246"/>
      <c r="E11" s="246"/>
      <c r="F11" s="246"/>
      <c r="G11" s="246"/>
      <c r="H11" s="246"/>
      <c r="I11" s="246"/>
      <c r="J11" s="246"/>
      <c r="K11" s="246"/>
      <c r="L11" s="246"/>
      <c r="M11" s="246"/>
      <c r="N11" s="246"/>
      <c r="O11" s="246"/>
      <c r="P11" s="246"/>
      <c r="Q11" s="246"/>
      <c r="R11" s="246"/>
      <c r="S11" s="246"/>
      <c r="T11" s="246"/>
      <c r="U11" s="253" t="str">
        <f>IF(COUNTIF([1]回答表!F17,"*")&gt;0,[1]回答表!F17,"")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IF(COUNTIF([1]回答表!W17,"*")&gt;0,[1]回答表!W17,"")</f>
        <v>公共下水道</v>
      </c>
      <c r="AP11" s="248"/>
      <c r="AQ11" s="248"/>
      <c r="AR11" s="248"/>
      <c r="AS11" s="248"/>
      <c r="AT11" s="248"/>
      <c r="AU11" s="248"/>
      <c r="AV11" s="248"/>
      <c r="AW11" s="248"/>
      <c r="AX11" s="248"/>
      <c r="AY11" s="248"/>
      <c r="AZ11" s="248"/>
      <c r="BA11" s="248"/>
      <c r="BB11" s="248"/>
      <c r="BC11" s="248"/>
      <c r="BD11" s="248"/>
      <c r="BE11" s="249"/>
      <c r="BF11" s="252" t="str">
        <f>IF(COUNTIF([1]回答表!F19,"*")&gt;0,[1]回答表!F19,"")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IF([1]回答表!R41="○","○","")</f>
        <v/>
      </c>
      <c r="E24" s="122"/>
      <c r="F24" s="122"/>
      <c r="G24" s="122"/>
      <c r="H24" s="122"/>
      <c r="I24" s="122"/>
      <c r="J24" s="123"/>
      <c r="K24" s="121" t="str">
        <f>IF([1]回答表!R42="○","○","")</f>
        <v/>
      </c>
      <c r="L24" s="122"/>
      <c r="M24" s="122"/>
      <c r="N24" s="122"/>
      <c r="O24" s="122"/>
      <c r="P24" s="122"/>
      <c r="Q24" s="123"/>
      <c r="R24" s="121" t="str">
        <f>IF([1]回答表!R43="○","○","")</f>
        <v>○</v>
      </c>
      <c r="S24" s="122"/>
      <c r="T24" s="122"/>
      <c r="U24" s="122"/>
      <c r="V24" s="122"/>
      <c r="W24" s="122"/>
      <c r="X24" s="123"/>
      <c r="Y24" s="121" t="str">
        <f>IF([1]回答表!R44="○","○","")</f>
        <v/>
      </c>
      <c r="Z24" s="122"/>
      <c r="AA24" s="122"/>
      <c r="AB24" s="122"/>
      <c r="AC24" s="122"/>
      <c r="AD24" s="122"/>
      <c r="AE24" s="123"/>
      <c r="AF24" s="121" t="str">
        <f>IF([1]回答表!R45="○","○","")</f>
        <v>○</v>
      </c>
      <c r="AG24" s="122"/>
      <c r="AH24" s="122"/>
      <c r="AI24" s="122"/>
      <c r="AJ24" s="122"/>
      <c r="AK24" s="122"/>
      <c r="AL24" s="123"/>
      <c r="AM24" s="121" t="str">
        <f>IF([1]回答表!R46="○","○","")</f>
        <v/>
      </c>
      <c r="AN24" s="122"/>
      <c r="AO24" s="122"/>
      <c r="AP24" s="122"/>
      <c r="AQ24" s="122"/>
      <c r="AR24" s="122"/>
      <c r="AS24" s="123"/>
      <c r="AT24" s="121" t="str">
        <f>IF([1]回答表!R47="○","○","")</f>
        <v/>
      </c>
      <c r="AU24" s="122"/>
      <c r="AV24" s="122"/>
      <c r="AW24" s="122"/>
      <c r="AX24" s="122"/>
      <c r="AY24" s="122"/>
      <c r="AZ24" s="123"/>
      <c r="BA24" s="19"/>
      <c r="BB24" s="118" t="str">
        <f>IF([1]回答表!R48="○","○","")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IF([1]回答表!X41="○","○","")</f>
        <v/>
      </c>
      <c r="O36" s="98"/>
      <c r="P36" s="98"/>
      <c r="Q36" s="99"/>
      <c r="R36" s="39"/>
      <c r="S36" s="39"/>
      <c r="T36" s="39"/>
      <c r="U36" s="106" t="str">
        <f>IF([1]回答表!X41="○",[1]回答表!B56,IF([1]回答表!AA41="○",[1]回答表!B76,""))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IF([1]回答表!X41="○",[1]回答表!S62,IF([1]回答表!AA41="○",[1]回答表!S82,""))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IF([1]回答表!X41="○",[1]回答表!G62,IF([1]回答表!AA41="○",[1]回答表!G82,""))</f>
        <v/>
      </c>
      <c r="AN38" s="119"/>
      <c r="AO38" s="119"/>
      <c r="AP38" s="119"/>
      <c r="AQ38" s="119"/>
      <c r="AR38" s="119"/>
      <c r="AS38" s="119"/>
      <c r="AT38" s="120"/>
      <c r="AU38" s="118" t="str">
        <f>IF([1]回答表!X41="○",[1]回答表!G63,IF([1]回答表!AA41="○",[1]回答表!G83,""))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IF([1]回答表!X41="○",[1]回答表!V62,IF([1]回答表!AA41="○",[1]回答表!V82,""))</f>
        <v/>
      </c>
      <c r="BF39" s="199"/>
      <c r="BG39" s="199"/>
      <c r="BH39" s="200"/>
      <c r="BI39" s="82" t="str">
        <f>IF([1]回答表!X41="○",[1]回答表!V63,IF([1]回答表!AA41="○",[1]回答表!V83,""))</f>
        <v/>
      </c>
      <c r="BJ39" s="199"/>
      <c r="BK39" s="199"/>
      <c r="BL39" s="200"/>
      <c r="BM39" s="82" t="str">
        <f>IF([1]回答表!X41="○",[1]回答表!V64,IF([1]回答表!AA41="○",[1]回答表!V84,""))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IF([1]回答表!X41="○",[1]回答表!O68,IF([1]回答表!AA41="○",[1]回答表!O88,""))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IF([1]回答表!X41="○",[1]回答表!O69,IF([1]回答表!AA41="○",[1]回答表!O89,""))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IF([1]回答表!AA41="○","○","")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IF([1]回答表!X41="○",[1]回答表!O70,IF([1]回答表!AA41="○",[1]回答表!O90,""))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IF([1]回答表!X41="○",[1]回答表!O71,IF([1]回答表!AA41="○",[1]回答表!O91,""))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IF([1]回答表!X41="○",[1]回答表!AG68,IF([1]回答表!AA41="○",[1]回答表!AG88,""))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IF([1]回答表!X41="○",[1]回答表!AG69,IF([1]回答表!AA41="○",[1]回答表!AG89,""))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IF([1]回答表!X41="○",[1]回答表!AG70,IF([1]回答表!AA41="○",[1]回答表!AG90,""))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IF([1]回答表!AD41="○","○","")</f>
        <v/>
      </c>
      <c r="O52" s="98"/>
      <c r="P52" s="98"/>
      <c r="Q52" s="99"/>
      <c r="R52" s="39"/>
      <c r="S52" s="39"/>
      <c r="T52" s="39"/>
      <c r="U52" s="106" t="str">
        <f>IF([1]回答表!AD41="○",[1]回答表!B96,"")</f>
        <v/>
      </c>
      <c r="V52" s="107"/>
      <c r="W52" s="107"/>
      <c r="X52" s="107"/>
      <c r="Y52" s="107"/>
      <c r="Z52" s="107"/>
      <c r="AA52" s="107"/>
      <c r="AB52" s="107"/>
      <c r="AC52" s="107"/>
      <c r="AD52" s="107"/>
      <c r="AE52" s="107"/>
      <c r="AF52" s="107"/>
      <c r="AG52" s="107"/>
      <c r="AH52" s="107"/>
      <c r="AI52" s="107"/>
      <c r="AJ52" s="108"/>
      <c r="AK52" s="56"/>
      <c r="AL52" s="56"/>
      <c r="AM52" s="106" t="str">
        <f>IF([1]回答表!AD41="○",[1]回答表!B101,"")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IF([1]回答表!X42="○","○","")</f>
        <v/>
      </c>
      <c r="O63" s="98"/>
      <c r="P63" s="98"/>
      <c r="Q63" s="99"/>
      <c r="R63" s="39"/>
      <c r="S63" s="39"/>
      <c r="T63" s="39"/>
      <c r="U63" s="106" t="str">
        <f>IF([1]回答表!X42="○",[1]回答表!B111,IF([1]回答表!AA42="○",[1]回答表!B124,""))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IF([1]回答表!X42="○",[1]回答表!S117,IF([1]回答表!AA42="○",[1]回答表!S130,""))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IF([1]回答表!X42="○",[1]回答表!J117,IF([1]回答表!AA42="○",[1]回答表!J130,""))</f>
        <v/>
      </c>
      <c r="AN66" s="119"/>
      <c r="AO66" s="119"/>
      <c r="AP66" s="119"/>
      <c r="AQ66" s="119"/>
      <c r="AR66" s="119"/>
      <c r="AS66" s="119"/>
      <c r="AT66" s="120"/>
      <c r="AU66" s="118" t="str">
        <f>IF([1]回答表!X42="○",[1]回答表!J118,IF([1]回答表!AA42="○",[1]回答表!J131,""))</f>
        <v/>
      </c>
      <c r="AV66" s="119"/>
      <c r="AW66" s="119"/>
      <c r="AX66" s="119"/>
      <c r="AY66" s="119"/>
      <c r="AZ66" s="119"/>
      <c r="BA66" s="119"/>
      <c r="BB66" s="120"/>
      <c r="BC66" s="40"/>
      <c r="BD66" s="35"/>
      <c r="BE66" s="82" t="str">
        <f>IF([1]回答表!X42="○",[1]回答表!V117,IF([1]回答表!AA42="○",[1]回答表!V130,""))</f>
        <v/>
      </c>
      <c r="BF66" s="83"/>
      <c r="BG66" s="83"/>
      <c r="BH66" s="83"/>
      <c r="BI66" s="82" t="str">
        <f>IF([1]回答表!X42="○",[1]回答表!V118,IF([1]回答表!AA42="○",[1]回答表!V131,""))</f>
        <v/>
      </c>
      <c r="BJ66" s="83"/>
      <c r="BK66" s="83"/>
      <c r="BL66" s="83"/>
      <c r="BM66" s="82" t="str">
        <f>IF([1]回答表!X42="○",[1]回答表!V119,IF([1]回答表!AA42="○",[1]回答表!V132,""))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IF([1]回答表!AD42="○","○","")</f>
        <v/>
      </c>
      <c r="O75" s="98"/>
      <c r="P75" s="98"/>
      <c r="Q75" s="99"/>
      <c r="R75" s="39"/>
      <c r="S75" s="39"/>
      <c r="T75" s="39"/>
      <c r="U75" s="106" t="str">
        <f>IF([1]回答表!AD42="○",[1]回答表!B137,"")</f>
        <v/>
      </c>
      <c r="V75" s="107"/>
      <c r="W75" s="107"/>
      <c r="X75" s="107"/>
      <c r="Y75" s="107"/>
      <c r="Z75" s="107"/>
      <c r="AA75" s="107"/>
      <c r="AB75" s="107"/>
      <c r="AC75" s="107"/>
      <c r="AD75" s="107"/>
      <c r="AE75" s="107"/>
      <c r="AF75" s="107"/>
      <c r="AG75" s="107"/>
      <c r="AH75" s="107"/>
      <c r="AI75" s="107"/>
      <c r="AJ75" s="108"/>
      <c r="AK75" s="56"/>
      <c r="AL75" s="56"/>
      <c r="AM75" s="106" t="str">
        <f>IF([1]回答表!AD42="○",[1]回答表!B143,"")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IF([1]回答表!F17="水道事業",IF([1]回答表!X43="○","○",""),"")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IF([1]回答表!F17="水道事業",IF([1]回答表!X43="○",[1]回答表!B154,IF([1]回答表!AA43="○",[1]回答表!B201,"")),"")</f>
        <v/>
      </c>
      <c r="AN87" s="107"/>
      <c r="AO87" s="107"/>
      <c r="AP87" s="107"/>
      <c r="AQ87" s="107"/>
      <c r="AR87" s="107"/>
      <c r="AS87" s="107"/>
      <c r="AT87" s="107"/>
      <c r="AU87" s="107"/>
      <c r="AV87" s="107"/>
      <c r="AW87" s="107"/>
      <c r="AX87" s="107"/>
      <c r="AY87" s="107"/>
      <c r="AZ87" s="107"/>
      <c r="BA87" s="107"/>
      <c r="BB87" s="108"/>
      <c r="BC87" s="40"/>
      <c r="BD87" s="35"/>
      <c r="BE87" s="115" t="str">
        <f>IF([1]回答表!F17="水道事業",IF([1]回答表!X43="○",[1]回答表!B190,IF([1]回答表!AA43="○",[1]回答表!B238,"")),"")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IF([1]回答表!F17="水道事業",IF([1]回答表!X43="○",[1]回答表!J162,IF([1]回答表!AA43="○",[1]回答表!J209,"")),"")</f>
        <v/>
      </c>
      <c r="V89" s="119"/>
      <c r="W89" s="119"/>
      <c r="X89" s="119"/>
      <c r="Y89" s="119"/>
      <c r="Z89" s="119"/>
      <c r="AA89" s="119"/>
      <c r="AB89" s="120"/>
      <c r="AC89" s="118" t="str">
        <f>IF([1]回答表!F17="水道事業",IF([1]回答表!X43="○",[1]回答表!J169,IF([1]回答表!AA43="○",[1]回答表!J216,"")),"")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IF([1]回答表!F17="水道事業",IF([1]回答表!X43="○",[1]回答表!E190,IF([1]回答表!AA43="○",[1]回答表!E238,"")),"")</f>
        <v/>
      </c>
      <c r="BF90" s="83"/>
      <c r="BG90" s="83"/>
      <c r="BH90" s="83"/>
      <c r="BI90" s="82" t="str">
        <f>IF([1]回答表!F17="水道事業",IF([1]回答表!X43="○",[1]回答表!E191,IF([1]回答表!AA43="○",[1]回答表!E239,"")),"")</f>
        <v/>
      </c>
      <c r="BJ90" s="83"/>
      <c r="BK90" s="83"/>
      <c r="BL90" s="83"/>
      <c r="BM90" s="82" t="str">
        <f>IF([1]回答表!F17="水道事業",IF([1]回答表!X43="○",[1]回答表!E192,IF([1]回答表!AA43="○",[1]回答表!E240,"")),"")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IF([1]回答表!F17="水道事業",IF([1]回答表!AA43="○","○",""),"")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IF([1]回答表!F17="水道事業",IF([1]回答表!X43="○",[1]回答表!J172,IF([1]回答表!AA43="○",[1]回答表!J219,"")),"")</f>
        <v/>
      </c>
      <c r="V94" s="119"/>
      <c r="W94" s="119"/>
      <c r="X94" s="119"/>
      <c r="Y94" s="119"/>
      <c r="Z94" s="119"/>
      <c r="AA94" s="119"/>
      <c r="AB94" s="120"/>
      <c r="AC94" s="118" t="str">
        <f>IF([1]回答表!F17="水道事業",IF([1]回答表!X43="○",[1]回答表!J176,IF([1]回答表!AA43="○",[1]回答表!J223,"")),"")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IF([1]回答表!F17="水道事業",IF([1]回答表!AD43="○","○",""),"")</f>
        <v/>
      </c>
      <c r="O99" s="98"/>
      <c r="P99" s="98"/>
      <c r="Q99" s="99"/>
      <c r="R99" s="39"/>
      <c r="S99" s="39"/>
      <c r="T99" s="39"/>
      <c r="U99" s="106" t="str">
        <f>IF([1]回答表!F17="水道事業",IF([1]回答表!AD43="○",[1]回答表!B249,""),"")</f>
        <v/>
      </c>
      <c r="V99" s="107"/>
      <c r="W99" s="107"/>
      <c r="X99" s="107"/>
      <c r="Y99" s="107"/>
      <c r="Z99" s="107"/>
      <c r="AA99" s="107"/>
      <c r="AB99" s="107"/>
      <c r="AC99" s="107"/>
      <c r="AD99" s="107"/>
      <c r="AE99" s="107"/>
      <c r="AF99" s="107"/>
      <c r="AG99" s="107"/>
      <c r="AH99" s="107"/>
      <c r="AI99" s="107"/>
      <c r="AJ99" s="108"/>
      <c r="AK99" s="56"/>
      <c r="AL99" s="56"/>
      <c r="AM99" s="106" t="str">
        <f>IF([1]回答表!F17="水道事業",IF([1]回答表!AD43="○",[1]回答表!B255,""),"")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IF([1]回答表!F17="簡易水道事業",IF([1]回答表!X43="○","○",""),"")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IF([1]回答表!F17="簡易水道事業",IF([1]回答表!X43="○",[1]回答表!B154,IF([1]回答表!AA43="○",[1]回答表!B201,"")),"")</f>
        <v/>
      </c>
      <c r="AN111" s="107"/>
      <c r="AO111" s="107"/>
      <c r="AP111" s="107"/>
      <c r="AQ111" s="107"/>
      <c r="AR111" s="107"/>
      <c r="AS111" s="107"/>
      <c r="AT111" s="107"/>
      <c r="AU111" s="107"/>
      <c r="AV111" s="107"/>
      <c r="AW111" s="107"/>
      <c r="AX111" s="107"/>
      <c r="AY111" s="107"/>
      <c r="AZ111" s="107"/>
      <c r="BA111" s="107"/>
      <c r="BB111" s="108"/>
      <c r="BC111" s="40"/>
      <c r="BD111" s="35"/>
      <c r="BE111" s="115" t="str">
        <f>IF([1]回答表!F17="簡易水道事業",IF([1]回答表!X43="○",[1]回答表!B190,IF([1]回答表!AA43="○",[1]回答表!B238,"")),"")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IF([1]回答表!F17="簡易水道事業",IF([1]回答表!X43="○",[1]回答表!Y181,IF([1]回答表!AA43="○",[1]回答表!Y229,"")),"")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IF([1]回答表!F17="簡易水道事業",IF([1]回答表!X43="○",[1]回答表!E190,IF([1]回答表!AA43="○",[1]回答表!E238,"")),"")</f>
        <v/>
      </c>
      <c r="BF114" s="83"/>
      <c r="BG114" s="83"/>
      <c r="BH114" s="83"/>
      <c r="BI114" s="82" t="str">
        <f>IF([1]回答表!F17="簡易水道事業",IF([1]回答表!X43="○",[1]回答表!E191,IF([1]回答表!AA43="○",[1]回答表!E239,"")),"")</f>
        <v/>
      </c>
      <c r="BJ114" s="83"/>
      <c r="BK114" s="83"/>
      <c r="BL114" s="83"/>
      <c r="BM114" s="82" t="str">
        <f>IF([1]回答表!F17="簡易水道事業",IF([1]回答表!X43="○",[1]回答表!E192,IF([1]回答表!AA43="○",[1]回答表!E240,"")),"")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IF([1]回答表!F17="簡易水道事業",IF([1]回答表!AA43="○","○",""),"")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IF([1]回答表!F17="簡易水道事業",IF([1]回答表!X43="○",[1]回答表!Y182,IF([1]回答表!AA43="○",[1]回答表!Y230,"")),"")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IF([1]回答表!F17="簡易水道事業",IF([1]回答表!AD43="○","○",""),"")</f>
        <v/>
      </c>
      <c r="O123" s="98"/>
      <c r="P123" s="98"/>
      <c r="Q123" s="99"/>
      <c r="R123" s="39"/>
      <c r="S123" s="39"/>
      <c r="T123" s="39"/>
      <c r="U123" s="106" t="str">
        <f>IF([1]回答表!F17="簡易水道事業",IF([1]回答表!AD43="○",[1]回答表!B249,""),"")</f>
        <v/>
      </c>
      <c r="V123" s="107"/>
      <c r="W123" s="107"/>
      <c r="X123" s="107"/>
      <c r="Y123" s="107"/>
      <c r="Z123" s="107"/>
      <c r="AA123" s="107"/>
      <c r="AB123" s="107"/>
      <c r="AC123" s="107"/>
      <c r="AD123" s="107"/>
      <c r="AE123" s="107"/>
      <c r="AF123" s="107"/>
      <c r="AG123" s="107"/>
      <c r="AH123" s="107"/>
      <c r="AI123" s="107"/>
      <c r="AJ123" s="108"/>
      <c r="AK123" s="56"/>
      <c r="AL123" s="56"/>
      <c r="AM123" s="106" t="str">
        <f>IF([1]回答表!F17="簡易水道事業",IF([1]回答表!AD43="○",[1]回答表!B255,""),"")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IF([1]回答表!F17="下水道事業",IF([1]回答表!X43="○","○",""),"")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IF([1]回答表!F17="下水道事業",IF([1]回答表!X43="○",[1]回答表!B154,IF([1]回答表!AA43="○",[1]回答表!B201,"")),"")</f>
        <v>汚水処理施設の統廃合（公共下水道を流域下水道に接続する。）</v>
      </c>
      <c r="AN135" s="107"/>
      <c r="AO135" s="107"/>
      <c r="AP135" s="107"/>
      <c r="AQ135" s="107"/>
      <c r="AR135" s="107"/>
      <c r="AS135" s="107"/>
      <c r="AT135" s="107"/>
      <c r="AU135" s="107"/>
      <c r="AV135" s="107"/>
      <c r="AW135" s="107"/>
      <c r="AX135" s="107"/>
      <c r="AY135" s="107"/>
      <c r="AZ135" s="107"/>
      <c r="BA135" s="107"/>
      <c r="BB135" s="108"/>
      <c r="BC135" s="40"/>
      <c r="BD135" s="35"/>
      <c r="BE135" s="115" t="str">
        <f>IF([1]回答表!F17="下水道事業",IF([1]回答表!X43="○",[1]回答表!B190,IF([1]回答表!AA43="○",[1]回答表!B238,"")),"")</f>
        <v>令和</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IF([1]回答表!F17="下水道事業",IF([1]回答表!X43="○",[1]回答表!Y184,IF([1]回答表!AA43="○",[1]回答表!Y232,"")),"")</f>
        <v>○</v>
      </c>
      <c r="V137" s="119"/>
      <c r="W137" s="119"/>
      <c r="X137" s="119"/>
      <c r="Y137" s="119"/>
      <c r="Z137" s="119"/>
      <c r="AA137" s="119"/>
      <c r="AB137" s="120"/>
      <c r="AC137" s="118">
        <f>IF([1]回答表!F17="下水道事業",IF([1]回答表!X43="○",[1]回答表!Y185,IF([1]回答表!AA43="○",[1]回答表!Y233,"")),"")</f>
        <v>0</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f>IF([1]回答表!F17="下水道事業",IF([1]回答表!X43="○",[1]回答表!E190,IF([1]回答表!AA43="○",[1]回答表!E238,"")),"")</f>
        <v>5</v>
      </c>
      <c r="BF138" s="83"/>
      <c r="BG138" s="83"/>
      <c r="BH138" s="83"/>
      <c r="BI138" s="82">
        <f>IF([1]回答表!F17="下水道事業",IF([1]回答表!X43="○",[1]回答表!E191,IF([1]回答表!AA43="○",[1]回答表!E239,"")),"")</f>
        <v>3</v>
      </c>
      <c r="BJ138" s="83"/>
      <c r="BK138" s="83"/>
      <c r="BL138" s="83"/>
      <c r="BM138" s="82">
        <f>IF([1]回答表!F17="下水道事業",IF([1]回答表!X43="○",[1]回答表!E192,IF([1]回答表!AA43="○",[1]回答表!E240,"")),"")</f>
        <v>31</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IF([1]回答表!F17="下水道事業",IF([1]回答表!AA43="○","○",""),"")</f>
        <v>○</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f>IF([1]回答表!F17="下水道事業",IF([1]回答表!X43="○",[1]回答表!Y186,IF([1]回答表!AA43="○",[1]回答表!Y234,"")),"")</f>
        <v>0</v>
      </c>
      <c r="V142" s="119"/>
      <c r="W142" s="119"/>
      <c r="X142" s="119"/>
      <c r="Y142" s="119"/>
      <c r="Z142" s="119"/>
      <c r="AA142" s="119"/>
      <c r="AB142" s="120"/>
      <c r="AC142" s="118">
        <f>IF([1]回答表!F17="下水道事業",IF([1]回答表!X43="○",[1]回答表!Y187,IF([1]回答表!AA43="○",[1]回答表!Y235,"")),"")</f>
        <v>0</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IF([1]回答表!F17="下水道事業",IF([1]回答表!AD43="○","○",""),"")</f>
        <v/>
      </c>
      <c r="O147" s="98"/>
      <c r="P147" s="98"/>
      <c r="Q147" s="99"/>
      <c r="R147" s="39"/>
      <c r="S147" s="39"/>
      <c r="T147" s="39"/>
      <c r="U147" s="106" t="str">
        <f>IF([1]回答表!F17="下水道事業",IF([1]回答表!AD43="○",[1]回答表!B249,""),"")</f>
        <v/>
      </c>
      <c r="V147" s="107"/>
      <c r="W147" s="107"/>
      <c r="X147" s="107"/>
      <c r="Y147" s="107"/>
      <c r="Z147" s="107"/>
      <c r="AA147" s="107"/>
      <c r="AB147" s="107"/>
      <c r="AC147" s="107"/>
      <c r="AD147" s="107"/>
      <c r="AE147" s="107"/>
      <c r="AF147" s="107"/>
      <c r="AG147" s="107"/>
      <c r="AH147" s="107"/>
      <c r="AI147" s="107"/>
      <c r="AJ147" s="108"/>
      <c r="AK147" s="56"/>
      <c r="AL147" s="56"/>
      <c r="AM147" s="106" t="str">
        <f>IF([1]回答表!F17="下水道事業",IF([1]回答表!AD43="○",[1]回答表!B255,""),"")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IF([1]回答表!BD17="○",IF([1]回答表!X43="○","○",""),"")</f>
        <v/>
      </c>
      <c r="O159" s="98"/>
      <c r="P159" s="98"/>
      <c r="Q159" s="99"/>
      <c r="R159" s="39"/>
      <c r="S159" s="39"/>
      <c r="T159" s="39"/>
      <c r="U159" s="106" t="str">
        <f>IF([1]回答表!BD17="○",IF([1]回答表!X43="○",[1]回答表!B154,IF([1]回答表!AA43="○",[1]回答表!B201,"")),"")</f>
        <v/>
      </c>
      <c r="V159" s="107"/>
      <c r="W159" s="107"/>
      <c r="X159" s="107"/>
      <c r="Y159" s="107"/>
      <c r="Z159" s="107"/>
      <c r="AA159" s="107"/>
      <c r="AB159" s="107"/>
      <c r="AC159" s="107"/>
      <c r="AD159" s="107"/>
      <c r="AE159" s="107"/>
      <c r="AF159" s="107"/>
      <c r="AG159" s="107"/>
      <c r="AH159" s="107"/>
      <c r="AI159" s="107"/>
      <c r="AJ159" s="108"/>
      <c r="AK159" s="50"/>
      <c r="AL159" s="50"/>
      <c r="AM159" s="115" t="str">
        <f>IF([1]回答表!BD17="○",IF([1]回答表!X43="○",[1]回答表!B190,IF([1]回答表!AA43="○",[1]回答表!B238,"")),"")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IF([1]回答表!BD17="○",IF([1]回答表!X43="○",[1]回答表!E190,IF([1]回答表!AA43="○",[1]回答表!E238,"")),"")</f>
        <v/>
      </c>
      <c r="AN162" s="83"/>
      <c r="AO162" s="83"/>
      <c r="AP162" s="83"/>
      <c r="AQ162" s="82" t="str">
        <f>IF([1]回答表!BD17="○",IF([1]回答表!X43="○",[1]回答表!E191,IF([1]回答表!AA43="○",[1]回答表!E239,"")),"")</f>
        <v/>
      </c>
      <c r="AR162" s="83"/>
      <c r="AS162" s="83"/>
      <c r="AT162" s="83"/>
      <c r="AU162" s="82" t="str">
        <f>IF([1]回答表!BD17="○",IF([1]回答表!X43="○",[1]回答表!E192,IF([1]回答表!AA43="○",[1]回答表!E240,"")),"")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IF([1]回答表!BD17="○",IF([1]回答表!AA43="○","○",""),"")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IF([1]回答表!BD17="○",IF([1]回答表!AD43="○","○",""),"")</f>
        <v/>
      </c>
      <c r="O171" s="98"/>
      <c r="P171" s="98"/>
      <c r="Q171" s="99"/>
      <c r="R171" s="39"/>
      <c r="S171" s="39"/>
      <c r="T171" s="39"/>
      <c r="U171" s="106" t="str">
        <f>IF([1]回答表!BD17="○",IF([1]回答表!AD43="○",[1]回答表!B249,""),"")</f>
        <v/>
      </c>
      <c r="V171" s="107"/>
      <c r="W171" s="107"/>
      <c r="X171" s="107"/>
      <c r="Y171" s="107"/>
      <c r="Z171" s="107"/>
      <c r="AA171" s="107"/>
      <c r="AB171" s="107"/>
      <c r="AC171" s="107"/>
      <c r="AD171" s="107"/>
      <c r="AE171" s="107"/>
      <c r="AF171" s="107"/>
      <c r="AG171" s="107"/>
      <c r="AH171" s="107"/>
      <c r="AI171" s="107"/>
      <c r="AJ171" s="108"/>
      <c r="AK171" s="56"/>
      <c r="AL171" s="56"/>
      <c r="AM171" s="106" t="str">
        <f>IF([1]回答表!BD17="○",IF([1]回答表!AD43="○",[1]回答表!B255,""),"")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IF([1]回答表!X44="○","○","")</f>
        <v/>
      </c>
      <c r="O183" s="98"/>
      <c r="P183" s="98"/>
      <c r="Q183" s="99"/>
      <c r="R183" s="39"/>
      <c r="S183" s="39"/>
      <c r="T183" s="39"/>
      <c r="U183" s="106" t="str">
        <f>IF([1]回答表!X44="○",[1]回答表!B266,IF([1]回答表!AA44="○",[1]回答表!B283,""))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IF([1]回答表!X44="○",[1]回答表!U272,IF([1]回答表!AA44="○",[1]回答表!U289,""))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IF([1]回答表!X44="○",[1]回答表!G272,IF([1]回答表!AA44="○",[1]回答表!G289,""))</f>
        <v/>
      </c>
      <c r="AN186" s="119"/>
      <c r="AO186" s="119"/>
      <c r="AP186" s="119"/>
      <c r="AQ186" s="119"/>
      <c r="AR186" s="119"/>
      <c r="AS186" s="119"/>
      <c r="AT186" s="120"/>
      <c r="AU186" s="118" t="str">
        <f>IF([1]回答表!X44="○",[1]回答表!G273,IF([1]回答表!AA44="○",[1]回答表!G290,""))</f>
        <v/>
      </c>
      <c r="AV186" s="119"/>
      <c r="AW186" s="119"/>
      <c r="AX186" s="119"/>
      <c r="AY186" s="119"/>
      <c r="AZ186" s="119"/>
      <c r="BA186" s="119"/>
      <c r="BB186" s="120"/>
      <c r="BC186" s="40"/>
      <c r="BD186" s="35"/>
      <c r="BE186" s="82" t="str">
        <f>IF([1]回答表!X44="○",[1]回答表!X272,IF([1]回答表!AA44="○",[1]回答表!X289,""))</f>
        <v/>
      </c>
      <c r="BF186" s="83"/>
      <c r="BG186" s="83"/>
      <c r="BH186" s="83"/>
      <c r="BI186" s="82" t="str">
        <f>IF([1]回答表!X44="○",[1]回答表!X273,IF([1]回答表!AA44="○",[1]回答表!X290,""))</f>
        <v/>
      </c>
      <c r="BJ186" s="83"/>
      <c r="BK186" s="83"/>
      <c r="BL186" s="86"/>
      <c r="BM186" s="82" t="str">
        <f>IF([1]回答表!X44="○",[1]回答表!X274,IF([1]回答表!AA44="○",[1]回答表!X291,""))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IF([1]回答表!AD44="○","○","")</f>
        <v/>
      </c>
      <c r="O195" s="98"/>
      <c r="P195" s="98"/>
      <c r="Q195" s="99"/>
      <c r="R195" s="39"/>
      <c r="S195" s="39"/>
      <c r="T195" s="39"/>
      <c r="U195" s="106" t="str">
        <f>IF([1]回答表!AD44="○",[1]回答表!B296,"")</f>
        <v/>
      </c>
      <c r="V195" s="107"/>
      <c r="W195" s="107"/>
      <c r="X195" s="107"/>
      <c r="Y195" s="107"/>
      <c r="Z195" s="107"/>
      <c r="AA195" s="107"/>
      <c r="AB195" s="107"/>
      <c r="AC195" s="107"/>
      <c r="AD195" s="107"/>
      <c r="AE195" s="107"/>
      <c r="AF195" s="107"/>
      <c r="AG195" s="107"/>
      <c r="AH195" s="107"/>
      <c r="AI195" s="107"/>
      <c r="AJ195" s="108"/>
      <c r="AK195" s="61"/>
      <c r="AL195" s="61"/>
      <c r="AM195" s="106" t="str">
        <f>IF([1]回答表!AD44="○",[1]回答表!B302,"")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IF([1]回答表!X45="○","○","")</f>
        <v>○</v>
      </c>
      <c r="O207" s="98"/>
      <c r="P207" s="98"/>
      <c r="Q207" s="99"/>
      <c r="R207" s="39"/>
      <c r="S207" s="39"/>
      <c r="T207" s="39"/>
      <c r="U207" s="106" t="str">
        <f>IF([1]回答表!X45="○",[1]回答表!B314,IF([1]回答表!AA45="○",[1]回答表!B337,""))</f>
        <v>上下水道料金等関連業務について、事業提案型プロポーザル方式により委託者を選定し、委託契約を締結した。（期間５年）</v>
      </c>
      <c r="V207" s="107"/>
      <c r="W207" s="107"/>
      <c r="X207" s="107"/>
      <c r="Y207" s="107"/>
      <c r="Z207" s="107"/>
      <c r="AA207" s="107"/>
      <c r="AB207" s="107"/>
      <c r="AC207" s="107"/>
      <c r="AD207" s="107"/>
      <c r="AE207" s="107"/>
      <c r="AF207" s="107"/>
      <c r="AG207" s="107"/>
      <c r="AH207" s="107"/>
      <c r="AI207" s="107"/>
      <c r="AJ207" s="108"/>
      <c r="AK207" s="50"/>
      <c r="AL207" s="50"/>
      <c r="AM207" s="50"/>
      <c r="AN207" s="106" t="str">
        <f>IF([1]回答表!X45="○",[1]回答表!B320,"")</f>
        <v>窓口業務、検針調定業務、収納業務、還付業務、滞納整理業務、電算処理業務（料金システムを含む）、メーター交換業務、その他付帯業務　</v>
      </c>
      <c r="AO207" s="164"/>
      <c r="AP207" s="164"/>
      <c r="AQ207" s="164"/>
      <c r="AR207" s="164"/>
      <c r="AS207" s="164"/>
      <c r="AT207" s="164"/>
      <c r="AU207" s="164"/>
      <c r="AV207" s="164"/>
      <c r="AW207" s="164"/>
      <c r="AX207" s="164"/>
      <c r="AY207" s="164"/>
      <c r="AZ207" s="164"/>
      <c r="BA207" s="164"/>
      <c r="BB207" s="165"/>
      <c r="BC207" s="40"/>
      <c r="BD207" s="35"/>
      <c r="BE207" s="115" t="str">
        <f>IF([1]回答表!X45="○",[1]回答表!B326,IF([1]回答表!AA45="○",[1]回答表!B343,""))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f>IF([1]回答表!X45="○",[1]回答表!E326,IF([1]回答表!AA45="○",[1]回答表!E343,""))</f>
        <v>22</v>
      </c>
      <c r="BF210" s="83"/>
      <c r="BG210" s="83"/>
      <c r="BH210" s="83"/>
      <c r="BI210" s="82">
        <f>IF([1]回答表!X45="○",[1]回答表!E327,IF([1]回答表!AA45="○",[1]回答表!E344,""))</f>
        <v>11</v>
      </c>
      <c r="BJ210" s="83"/>
      <c r="BK210" s="83"/>
      <c r="BL210" s="86"/>
      <c r="BM210" s="82">
        <f>IF([1]回答表!X45="○",[1]回答表!E328,IF([1]回答表!AA45="○",[1]回答表!E345,""))</f>
        <v>30</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IF([1]回答表!AD45="○","○","")</f>
        <v/>
      </c>
      <c r="O219" s="98"/>
      <c r="P219" s="98"/>
      <c r="Q219" s="99"/>
      <c r="R219" s="39"/>
      <c r="S219" s="39"/>
      <c r="T219" s="39"/>
      <c r="U219" s="106" t="str">
        <f>IF([1]回答表!AD45="○",[1]回答表!B350,"")</f>
        <v/>
      </c>
      <c r="V219" s="107"/>
      <c r="W219" s="107"/>
      <c r="X219" s="107"/>
      <c r="Y219" s="107"/>
      <c r="Z219" s="107"/>
      <c r="AA219" s="107"/>
      <c r="AB219" s="107"/>
      <c r="AC219" s="107"/>
      <c r="AD219" s="107"/>
      <c r="AE219" s="107"/>
      <c r="AF219" s="107"/>
      <c r="AG219" s="107"/>
      <c r="AH219" s="107"/>
      <c r="AI219" s="107"/>
      <c r="AJ219" s="108"/>
      <c r="AK219" s="61"/>
      <c r="AL219" s="61"/>
      <c r="AM219" s="106" t="str">
        <f>IF([1]回答表!AD45="○",[1]回答表!B356,"")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IF([1]回答表!X46="○","○","")</f>
        <v/>
      </c>
      <c r="O231" s="98"/>
      <c r="P231" s="98"/>
      <c r="Q231" s="99"/>
      <c r="R231" s="39"/>
      <c r="S231" s="39"/>
      <c r="T231" s="39"/>
      <c r="U231" s="106" t="str">
        <f>IF([1]回答表!X46="○",[1]回答表!B368,IF([1]回答表!AA46="○",[1]回答表!B382,""))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IF([1]回答表!X46="○",[1]回答表!BC375,IF([1]回答表!AA46="○",[1]回答表!BC389,""))</f>
        <v/>
      </c>
      <c r="AR231" s="150"/>
      <c r="AS231" s="150"/>
      <c r="AT231" s="150"/>
      <c r="AU231" s="155" t="s">
        <v>63</v>
      </c>
      <c r="AV231" s="156"/>
      <c r="AW231" s="156"/>
      <c r="AX231" s="157"/>
      <c r="AY231" s="150" t="str">
        <f>IF([1]回答表!X46="○",[1]回答表!BC380,IF([1]回答表!AA46="○",[1]回答表!BC394,""))</f>
        <v/>
      </c>
      <c r="AZ231" s="150"/>
      <c r="BA231" s="150"/>
      <c r="BB231" s="150"/>
      <c r="BC231" s="40"/>
      <c r="BD231" s="35"/>
      <c r="BE231" s="115" t="str">
        <f>IF([1]回答表!X46="○",[1]回答表!S374,IF([1]回答表!AA46="○",[1]回答表!S388,""))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IF([1]回答表!X46="○",[1]回答表!BC376,IF([1]回答表!AA46="○",[1]回答表!BC390,""))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IF([1]回答表!X46="○",[1]回答表!V374,IF([1]回答表!AA46="○",[1]回答表!V388,""))</f>
        <v/>
      </c>
      <c r="BF234" s="83"/>
      <c r="BG234" s="83"/>
      <c r="BH234" s="83"/>
      <c r="BI234" s="82" t="str">
        <f>IF([1]回答表!X46="○",[1]回答表!V375,IF([1]回答表!AA46="○",[1]回答表!V389,""))</f>
        <v/>
      </c>
      <c r="BJ234" s="83"/>
      <c r="BK234" s="83"/>
      <c r="BL234" s="86"/>
      <c r="BM234" s="82" t="str">
        <f>IF([1]回答表!X46="○",[1]回答表!V376,IF([1]回答表!AA46="○",[1]回答表!V390,""))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IF([1]回答表!X46="○",[1]回答表!BC377,IF([1]回答表!AA46="○",[1]回答表!BC391,""))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IF([1]回答表!X46="○",[1]回答表!BC381,IF([1]回答表!AA46="○",[1]回答表!BC395,""))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IF([1]回答表!X46="○",[1]回答表!BC378,IF([1]回答表!AA46="○",[1]回答表!BC392,""))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IF([1]回答表!X46="○",[1]回答表!BC379,IF([1]回答表!AA46="○",[1]回答表!BC393,""))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IF([1]回答表!AD46="○","○","")</f>
        <v/>
      </c>
      <c r="O243" s="98"/>
      <c r="P243" s="98"/>
      <c r="Q243" s="99"/>
      <c r="R243" s="39"/>
      <c r="S243" s="39"/>
      <c r="T243" s="39"/>
      <c r="U243" s="106" t="str">
        <f>IF([1]回答表!AD46="○",[1]回答表!B396,"")</f>
        <v/>
      </c>
      <c r="V243" s="107"/>
      <c r="W243" s="107"/>
      <c r="X243" s="107"/>
      <c r="Y243" s="107"/>
      <c r="Z243" s="107"/>
      <c r="AA243" s="107"/>
      <c r="AB243" s="107"/>
      <c r="AC243" s="107"/>
      <c r="AD243" s="107"/>
      <c r="AE243" s="107"/>
      <c r="AF243" s="107"/>
      <c r="AG243" s="107"/>
      <c r="AH243" s="107"/>
      <c r="AI243" s="107"/>
      <c r="AJ243" s="108"/>
      <c r="AK243" s="56"/>
      <c r="AL243" s="56"/>
      <c r="AM243" s="106" t="str">
        <f>IF([1]回答表!AD46="○",[1]回答表!B402,"")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IF([1]回答表!X47="○","○","")</f>
        <v/>
      </c>
      <c r="O254" s="98"/>
      <c r="P254" s="98"/>
      <c r="Q254" s="99"/>
      <c r="R254" s="39"/>
      <c r="S254" s="39"/>
      <c r="T254" s="39"/>
      <c r="U254" s="106" t="str">
        <f>IF([1]回答表!X47="○",[1]回答表!B414,IF([1]回答表!AA47="○",[1]回答表!B431,""))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IF([1]回答表!X47="○",[1]回答表!B424,IF([1]回答表!AA47="○",[1]回答表!B441,""))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IF([1]回答表!X47="○",[1]回答表!G420,IF([1]回答表!AA47="○",[1]回答表!G437,""))</f>
        <v/>
      </c>
      <c r="AN256" s="119"/>
      <c r="AO256" s="119"/>
      <c r="AP256" s="119"/>
      <c r="AQ256" s="119"/>
      <c r="AR256" s="119"/>
      <c r="AS256" s="119"/>
      <c r="AT256" s="120"/>
      <c r="AU256" s="118" t="str">
        <f>IF([1]回答表!X47="○",[1]回答表!G421,IF([1]回答表!AA47="○",[1]回答表!G438,""))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IF([1]回答表!X47="○",[1]回答表!E424,IF([1]回答表!AA47="○",[1]回答表!E441,""))</f>
        <v/>
      </c>
      <c r="BF257" s="83"/>
      <c r="BG257" s="83"/>
      <c r="BH257" s="83"/>
      <c r="BI257" s="82" t="str">
        <f>IF([1]回答表!X47="○",[1]回答表!E425,IF([1]回答表!AA47="○",[1]回答表!E442,""))</f>
        <v/>
      </c>
      <c r="BJ257" s="83"/>
      <c r="BK257" s="83"/>
      <c r="BL257" s="86"/>
      <c r="BM257" s="82" t="str">
        <f>IF([1]回答表!X47="○",[1]回答表!E426,IF([1]回答表!AA47="○",[1]回答表!E443,""))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IF([1]回答表!AD47="○","○","")</f>
        <v/>
      </c>
      <c r="O266" s="98"/>
      <c r="P266" s="98"/>
      <c r="Q266" s="99"/>
      <c r="R266" s="39"/>
      <c r="S266" s="39"/>
      <c r="T266" s="39"/>
      <c r="U266" s="106" t="str">
        <f>IF([1]回答表!AD47="○",[1]回答表!B448,"")</f>
        <v/>
      </c>
      <c r="V266" s="107"/>
      <c r="W266" s="107"/>
      <c r="X266" s="107"/>
      <c r="Y266" s="107"/>
      <c r="Z266" s="107"/>
      <c r="AA266" s="107"/>
      <c r="AB266" s="107"/>
      <c r="AC266" s="107"/>
      <c r="AD266" s="107"/>
      <c r="AE266" s="107"/>
      <c r="AF266" s="107"/>
      <c r="AG266" s="107"/>
      <c r="AH266" s="107"/>
      <c r="AI266" s="107"/>
      <c r="AJ266" s="108"/>
      <c r="AK266" s="50"/>
      <c r="AL266" s="50"/>
      <c r="AM266" s="106" t="str">
        <f>IF([1]回答表!AD47="○",[1]回答表!B454,"")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IF([1]回答表!R48="○",[1]回答表!B467,"")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E9E7-A4E9-47CC-BEA9-AA54201A2AC3}">
  <sheetPr>
    <pageSetUpPr fitToPage="1"/>
  </sheetPr>
  <dimension ref="A1:CE298"/>
  <sheetViews>
    <sheetView showZeros="0" zoomScale="55" zoomScaleNormal="55" workbookViewId="0">
      <selection activeCell="AS56" sqref="AS56"/>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IF(COUNTIF([4]回答表!K15,"*")&gt;0,[4]回答表!K15,"")</f>
        <v>横手市</v>
      </c>
      <c r="D11" s="246"/>
      <c r="E11" s="246"/>
      <c r="F11" s="246"/>
      <c r="G11" s="246"/>
      <c r="H11" s="246"/>
      <c r="I11" s="246"/>
      <c r="J11" s="246"/>
      <c r="K11" s="246"/>
      <c r="L11" s="246"/>
      <c r="M11" s="246"/>
      <c r="N11" s="246"/>
      <c r="O11" s="246"/>
      <c r="P11" s="246"/>
      <c r="Q11" s="246"/>
      <c r="R11" s="246"/>
      <c r="S11" s="246"/>
      <c r="T11" s="246"/>
      <c r="U11" s="253" t="str">
        <f>IF(COUNTIF([4]回答表!F17,"*")&gt;0,[4]回答表!F17,"")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IF(COUNTIF([4]回答表!W17,"*")&gt;0,[4]回答表!W17,"")</f>
        <v>農業集落排水施設</v>
      </c>
      <c r="AP11" s="248"/>
      <c r="AQ11" s="248"/>
      <c r="AR11" s="248"/>
      <c r="AS11" s="248"/>
      <c r="AT11" s="248"/>
      <c r="AU11" s="248"/>
      <c r="AV11" s="248"/>
      <c r="AW11" s="248"/>
      <c r="AX11" s="248"/>
      <c r="AY11" s="248"/>
      <c r="AZ11" s="248"/>
      <c r="BA11" s="248"/>
      <c r="BB11" s="248"/>
      <c r="BC11" s="248"/>
      <c r="BD11" s="248"/>
      <c r="BE11" s="249"/>
      <c r="BF11" s="252" t="str">
        <f>IF(COUNTIF([4]回答表!F19,"*")&gt;0,[4]回答表!F19,"")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IF([4]回答表!R41="○","○","")</f>
        <v/>
      </c>
      <c r="E24" s="122"/>
      <c r="F24" s="122"/>
      <c r="G24" s="122"/>
      <c r="H24" s="122"/>
      <c r="I24" s="122"/>
      <c r="J24" s="123"/>
      <c r="K24" s="121" t="str">
        <f>IF([4]回答表!R42="○","○","")</f>
        <v/>
      </c>
      <c r="L24" s="122"/>
      <c r="M24" s="122"/>
      <c r="N24" s="122"/>
      <c r="O24" s="122"/>
      <c r="P24" s="122"/>
      <c r="Q24" s="123"/>
      <c r="R24" s="121" t="str">
        <f>IF([4]回答表!R43="○","○","")</f>
        <v>○</v>
      </c>
      <c r="S24" s="122"/>
      <c r="T24" s="122"/>
      <c r="U24" s="122"/>
      <c r="V24" s="122"/>
      <c r="W24" s="122"/>
      <c r="X24" s="123"/>
      <c r="Y24" s="121" t="str">
        <f>IF([4]回答表!R44="○","○","")</f>
        <v/>
      </c>
      <c r="Z24" s="122"/>
      <c r="AA24" s="122"/>
      <c r="AB24" s="122"/>
      <c r="AC24" s="122"/>
      <c r="AD24" s="122"/>
      <c r="AE24" s="123"/>
      <c r="AF24" s="121" t="str">
        <f>IF([4]回答表!R45="○","○","")</f>
        <v>○</v>
      </c>
      <c r="AG24" s="122"/>
      <c r="AH24" s="122"/>
      <c r="AI24" s="122"/>
      <c r="AJ24" s="122"/>
      <c r="AK24" s="122"/>
      <c r="AL24" s="123"/>
      <c r="AM24" s="121" t="str">
        <f>IF([4]回答表!R46="○","○","")</f>
        <v/>
      </c>
      <c r="AN24" s="122"/>
      <c r="AO24" s="122"/>
      <c r="AP24" s="122"/>
      <c r="AQ24" s="122"/>
      <c r="AR24" s="122"/>
      <c r="AS24" s="123"/>
      <c r="AT24" s="121" t="str">
        <f>IF([4]回答表!R47="○","○","")</f>
        <v/>
      </c>
      <c r="AU24" s="122"/>
      <c r="AV24" s="122"/>
      <c r="AW24" s="122"/>
      <c r="AX24" s="122"/>
      <c r="AY24" s="122"/>
      <c r="AZ24" s="123"/>
      <c r="BA24" s="19"/>
      <c r="BB24" s="118" t="str">
        <f>IF([4]回答表!R48="○","○","")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IF([4]回答表!X41="○","○","")</f>
        <v/>
      </c>
      <c r="O36" s="98"/>
      <c r="P36" s="98"/>
      <c r="Q36" s="99"/>
      <c r="R36" s="39"/>
      <c r="S36" s="39"/>
      <c r="T36" s="39"/>
      <c r="U36" s="106" t="str">
        <f>IF([4]回答表!X41="○",[4]回答表!B56,IF([4]回答表!AA41="○",[4]回答表!B76,""))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IF([4]回答表!X41="○",[4]回答表!S62,IF([4]回答表!AA41="○",[4]回答表!S82,""))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IF([4]回答表!X41="○",[4]回答表!G62,IF([4]回答表!AA41="○",[4]回答表!G82,""))</f>
        <v/>
      </c>
      <c r="AN38" s="119"/>
      <c r="AO38" s="119"/>
      <c r="AP38" s="119"/>
      <c r="AQ38" s="119"/>
      <c r="AR38" s="119"/>
      <c r="AS38" s="119"/>
      <c r="AT38" s="120"/>
      <c r="AU38" s="118" t="str">
        <f>IF([4]回答表!X41="○",[4]回答表!G63,IF([4]回答表!AA41="○",[4]回答表!G83,""))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IF([4]回答表!X41="○",[4]回答表!V62,IF([4]回答表!AA41="○",[4]回答表!V82,""))</f>
        <v/>
      </c>
      <c r="BF39" s="199"/>
      <c r="BG39" s="199"/>
      <c r="BH39" s="200"/>
      <c r="BI39" s="82" t="str">
        <f>IF([4]回答表!X41="○",[4]回答表!V63,IF([4]回答表!AA41="○",[4]回答表!V83,""))</f>
        <v/>
      </c>
      <c r="BJ39" s="199"/>
      <c r="BK39" s="199"/>
      <c r="BL39" s="200"/>
      <c r="BM39" s="82" t="str">
        <f>IF([4]回答表!X41="○",[4]回答表!V64,IF([4]回答表!AA41="○",[4]回答表!V84,""))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IF([4]回答表!X41="○",[4]回答表!O68,IF([4]回答表!AA41="○",[4]回答表!O88,""))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IF([4]回答表!X41="○",[4]回答表!O69,IF([4]回答表!AA41="○",[4]回答表!O89,""))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IF([4]回答表!AA41="○","○","")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IF([4]回答表!X41="○",[4]回答表!O70,IF([4]回答表!AA41="○",[4]回答表!O90,""))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IF([4]回答表!X41="○",[4]回答表!O71,IF([4]回答表!AA41="○",[4]回答表!O91,""))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IF([4]回答表!X41="○",[4]回答表!AG68,IF([4]回答表!AA41="○",[4]回答表!AG88,""))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IF([4]回答表!X41="○",[4]回答表!AG69,IF([4]回答表!AA41="○",[4]回答表!AG89,""))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IF([4]回答表!X41="○",[4]回答表!AG70,IF([4]回答表!AA41="○",[4]回答表!AG90,""))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IF([4]回答表!AD41="○","○","")</f>
        <v/>
      </c>
      <c r="O52" s="98"/>
      <c r="P52" s="98"/>
      <c r="Q52" s="99"/>
      <c r="R52" s="39"/>
      <c r="S52" s="39"/>
      <c r="T52" s="39"/>
      <c r="U52" s="106" t="str">
        <f>IF([4]回答表!AD41="○",[4]回答表!B96,"")</f>
        <v/>
      </c>
      <c r="V52" s="107"/>
      <c r="W52" s="107"/>
      <c r="X52" s="107"/>
      <c r="Y52" s="107"/>
      <c r="Z52" s="107"/>
      <c r="AA52" s="107"/>
      <c r="AB52" s="107"/>
      <c r="AC52" s="107"/>
      <c r="AD52" s="107"/>
      <c r="AE52" s="107"/>
      <c r="AF52" s="107"/>
      <c r="AG52" s="107"/>
      <c r="AH52" s="107"/>
      <c r="AI52" s="107"/>
      <c r="AJ52" s="108"/>
      <c r="AK52" s="56"/>
      <c r="AL52" s="56"/>
      <c r="AM52" s="106" t="str">
        <f>IF([4]回答表!AD41="○",[4]回答表!B101,"")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IF([4]回答表!X42="○","○","")</f>
        <v/>
      </c>
      <c r="O63" s="98"/>
      <c r="P63" s="98"/>
      <c r="Q63" s="99"/>
      <c r="R63" s="39"/>
      <c r="S63" s="39"/>
      <c r="T63" s="39"/>
      <c r="U63" s="106" t="str">
        <f>IF([4]回答表!X42="○",[4]回答表!B111,IF([4]回答表!AA42="○",[4]回答表!B124,""))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IF([4]回答表!X42="○",[4]回答表!S117,IF([4]回答表!AA42="○",[4]回答表!S130,""))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IF([4]回答表!X42="○",[4]回答表!J117,IF([4]回答表!AA42="○",[4]回答表!J130,""))</f>
        <v/>
      </c>
      <c r="AN66" s="119"/>
      <c r="AO66" s="119"/>
      <c r="AP66" s="119"/>
      <c r="AQ66" s="119"/>
      <c r="AR66" s="119"/>
      <c r="AS66" s="119"/>
      <c r="AT66" s="120"/>
      <c r="AU66" s="118" t="str">
        <f>IF([4]回答表!X42="○",[4]回答表!J118,IF([4]回答表!AA42="○",[4]回答表!J131,""))</f>
        <v/>
      </c>
      <c r="AV66" s="119"/>
      <c r="AW66" s="119"/>
      <c r="AX66" s="119"/>
      <c r="AY66" s="119"/>
      <c r="AZ66" s="119"/>
      <c r="BA66" s="119"/>
      <c r="BB66" s="120"/>
      <c r="BC66" s="40"/>
      <c r="BD66" s="35"/>
      <c r="BE66" s="82" t="str">
        <f>IF([4]回答表!X42="○",[4]回答表!V117,IF([4]回答表!AA42="○",[4]回答表!V130,""))</f>
        <v/>
      </c>
      <c r="BF66" s="83"/>
      <c r="BG66" s="83"/>
      <c r="BH66" s="83"/>
      <c r="BI66" s="82" t="str">
        <f>IF([4]回答表!X42="○",[4]回答表!V118,IF([4]回答表!AA42="○",[4]回答表!V131,""))</f>
        <v/>
      </c>
      <c r="BJ66" s="83"/>
      <c r="BK66" s="83"/>
      <c r="BL66" s="83"/>
      <c r="BM66" s="82" t="str">
        <f>IF([4]回答表!X42="○",[4]回答表!V119,IF([4]回答表!AA42="○",[4]回答表!V132,""))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IF([4]回答表!AA42="○","○","")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IF([4]回答表!AD42="○","○","")</f>
        <v/>
      </c>
      <c r="O75" s="98"/>
      <c r="P75" s="98"/>
      <c r="Q75" s="99"/>
      <c r="R75" s="39"/>
      <c r="S75" s="39"/>
      <c r="T75" s="39"/>
      <c r="U75" s="106" t="str">
        <f>IF([4]回答表!AD42="○",[4]回答表!B137,"")</f>
        <v/>
      </c>
      <c r="V75" s="107"/>
      <c r="W75" s="107"/>
      <c r="X75" s="107"/>
      <c r="Y75" s="107"/>
      <c r="Z75" s="107"/>
      <c r="AA75" s="107"/>
      <c r="AB75" s="107"/>
      <c r="AC75" s="107"/>
      <c r="AD75" s="107"/>
      <c r="AE75" s="107"/>
      <c r="AF75" s="107"/>
      <c r="AG75" s="107"/>
      <c r="AH75" s="107"/>
      <c r="AI75" s="107"/>
      <c r="AJ75" s="108"/>
      <c r="AK75" s="56"/>
      <c r="AL75" s="56"/>
      <c r="AM75" s="106" t="str">
        <f>IF([4]回答表!AD42="○",[4]回答表!B143,"")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IF([4]回答表!F17="水道事業",IF([4]回答表!X43="○","○",""),"")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IF([4]回答表!F17="水道事業",IF([4]回答表!X43="○",[4]回答表!B154,IF([4]回答表!AA43="○",[4]回答表!B201,"")),"")</f>
        <v/>
      </c>
      <c r="AN87" s="107"/>
      <c r="AO87" s="107"/>
      <c r="AP87" s="107"/>
      <c r="AQ87" s="107"/>
      <c r="AR87" s="107"/>
      <c r="AS87" s="107"/>
      <c r="AT87" s="107"/>
      <c r="AU87" s="107"/>
      <c r="AV87" s="107"/>
      <c r="AW87" s="107"/>
      <c r="AX87" s="107"/>
      <c r="AY87" s="107"/>
      <c r="AZ87" s="107"/>
      <c r="BA87" s="107"/>
      <c r="BB87" s="108"/>
      <c r="BC87" s="40"/>
      <c r="BD87" s="35"/>
      <c r="BE87" s="115" t="str">
        <f>IF([4]回答表!F17="水道事業",IF([4]回答表!X43="○",[4]回答表!B190,IF([4]回答表!AA43="○",[4]回答表!B238,"")),"")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IF([4]回答表!F17="水道事業",IF([4]回答表!X43="○",[4]回答表!J162,IF([4]回答表!AA43="○",[4]回答表!J209,"")),"")</f>
        <v/>
      </c>
      <c r="V89" s="119"/>
      <c r="W89" s="119"/>
      <c r="X89" s="119"/>
      <c r="Y89" s="119"/>
      <c r="Z89" s="119"/>
      <c r="AA89" s="119"/>
      <c r="AB89" s="120"/>
      <c r="AC89" s="118" t="str">
        <f>IF([4]回答表!F17="水道事業",IF([4]回答表!X43="○",[4]回答表!J169,IF([4]回答表!AA43="○",[4]回答表!J216,"")),"")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IF([4]回答表!F17="水道事業",IF([4]回答表!X43="○",[4]回答表!E190,IF([4]回答表!AA43="○",[4]回答表!E238,"")),"")</f>
        <v/>
      </c>
      <c r="BF90" s="83"/>
      <c r="BG90" s="83"/>
      <c r="BH90" s="83"/>
      <c r="BI90" s="82" t="str">
        <f>IF([4]回答表!F17="水道事業",IF([4]回答表!X43="○",[4]回答表!E191,IF([4]回答表!AA43="○",[4]回答表!E239,"")),"")</f>
        <v/>
      </c>
      <c r="BJ90" s="83"/>
      <c r="BK90" s="83"/>
      <c r="BL90" s="83"/>
      <c r="BM90" s="82" t="str">
        <f>IF([4]回答表!F17="水道事業",IF([4]回答表!X43="○",[4]回答表!E192,IF([4]回答表!AA43="○",[4]回答表!E240,"")),"")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IF([4]回答表!F17="水道事業",IF([4]回答表!AA43="○","○",""),"")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IF([4]回答表!F17="水道事業",IF([4]回答表!X43="○",[4]回答表!J172,IF([4]回答表!AA43="○",[4]回答表!J219,"")),"")</f>
        <v/>
      </c>
      <c r="V94" s="119"/>
      <c r="W94" s="119"/>
      <c r="X94" s="119"/>
      <c r="Y94" s="119"/>
      <c r="Z94" s="119"/>
      <c r="AA94" s="119"/>
      <c r="AB94" s="120"/>
      <c r="AC94" s="118" t="str">
        <f>IF([4]回答表!F17="水道事業",IF([4]回答表!X43="○",[4]回答表!J176,IF([4]回答表!AA43="○",[4]回答表!J223,"")),"")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IF([4]回答表!F17="水道事業",IF([4]回答表!AD43="○","○",""),"")</f>
        <v/>
      </c>
      <c r="O99" s="98"/>
      <c r="P99" s="98"/>
      <c r="Q99" s="99"/>
      <c r="R99" s="39"/>
      <c r="S99" s="39"/>
      <c r="T99" s="39"/>
      <c r="U99" s="106" t="str">
        <f>IF([4]回答表!F17="水道事業",IF([4]回答表!AD43="○",[4]回答表!B249,""),"")</f>
        <v/>
      </c>
      <c r="V99" s="107"/>
      <c r="W99" s="107"/>
      <c r="X99" s="107"/>
      <c r="Y99" s="107"/>
      <c r="Z99" s="107"/>
      <c r="AA99" s="107"/>
      <c r="AB99" s="107"/>
      <c r="AC99" s="107"/>
      <c r="AD99" s="107"/>
      <c r="AE99" s="107"/>
      <c r="AF99" s="107"/>
      <c r="AG99" s="107"/>
      <c r="AH99" s="107"/>
      <c r="AI99" s="107"/>
      <c r="AJ99" s="108"/>
      <c r="AK99" s="56"/>
      <c r="AL99" s="56"/>
      <c r="AM99" s="106" t="str">
        <f>IF([4]回答表!F17="水道事業",IF([4]回答表!AD43="○",[4]回答表!B255,""),"")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IF([4]回答表!F17="簡易水道事業",IF([4]回答表!X43="○","○",""),"")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IF([4]回答表!F17="簡易水道事業",IF([4]回答表!X43="○",[4]回答表!B154,IF([4]回答表!AA43="○",[4]回答表!B201,"")),"")</f>
        <v/>
      </c>
      <c r="AN111" s="107"/>
      <c r="AO111" s="107"/>
      <c r="AP111" s="107"/>
      <c r="AQ111" s="107"/>
      <c r="AR111" s="107"/>
      <c r="AS111" s="107"/>
      <c r="AT111" s="107"/>
      <c r="AU111" s="107"/>
      <c r="AV111" s="107"/>
      <c r="AW111" s="107"/>
      <c r="AX111" s="107"/>
      <c r="AY111" s="107"/>
      <c r="AZ111" s="107"/>
      <c r="BA111" s="107"/>
      <c r="BB111" s="108"/>
      <c r="BC111" s="40"/>
      <c r="BD111" s="35"/>
      <c r="BE111" s="115" t="str">
        <f>IF([4]回答表!F17="簡易水道事業",IF([4]回答表!X43="○",[4]回答表!B190,IF([4]回答表!AA43="○",[4]回答表!B238,"")),"")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IF([4]回答表!F17="簡易水道事業",IF([4]回答表!X43="○",[4]回答表!Y181,IF([4]回答表!AA43="○",[4]回答表!Y229,"")),"")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IF([4]回答表!F17="簡易水道事業",IF([4]回答表!X43="○",[4]回答表!E190,IF([4]回答表!AA43="○",[4]回答表!E238,"")),"")</f>
        <v/>
      </c>
      <c r="BF114" s="83"/>
      <c r="BG114" s="83"/>
      <c r="BH114" s="83"/>
      <c r="BI114" s="82" t="str">
        <f>IF([4]回答表!F17="簡易水道事業",IF([4]回答表!X43="○",[4]回答表!E191,IF([4]回答表!AA43="○",[4]回答表!E239,"")),"")</f>
        <v/>
      </c>
      <c r="BJ114" s="83"/>
      <c r="BK114" s="83"/>
      <c r="BL114" s="83"/>
      <c r="BM114" s="82" t="str">
        <f>IF([4]回答表!F17="簡易水道事業",IF([4]回答表!X43="○",[4]回答表!E192,IF([4]回答表!AA43="○",[4]回答表!E240,"")),"")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IF([4]回答表!F17="簡易水道事業",IF([4]回答表!AA43="○","○",""),"")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IF([4]回答表!F17="簡易水道事業",IF([4]回答表!X43="○",[4]回答表!Y182,IF([4]回答表!AA43="○",[4]回答表!Y230,"")),"")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IF([4]回答表!F17="簡易水道事業",IF([4]回答表!AD43="○","○",""),"")</f>
        <v/>
      </c>
      <c r="O123" s="98"/>
      <c r="P123" s="98"/>
      <c r="Q123" s="99"/>
      <c r="R123" s="39"/>
      <c r="S123" s="39"/>
      <c r="T123" s="39"/>
      <c r="U123" s="106" t="str">
        <f>IF([4]回答表!F17="簡易水道事業",IF([4]回答表!AD43="○",[4]回答表!B249,""),"")</f>
        <v/>
      </c>
      <c r="V123" s="107"/>
      <c r="W123" s="107"/>
      <c r="X123" s="107"/>
      <c r="Y123" s="107"/>
      <c r="Z123" s="107"/>
      <c r="AA123" s="107"/>
      <c r="AB123" s="107"/>
      <c r="AC123" s="107"/>
      <c r="AD123" s="107"/>
      <c r="AE123" s="107"/>
      <c r="AF123" s="107"/>
      <c r="AG123" s="107"/>
      <c r="AH123" s="107"/>
      <c r="AI123" s="107"/>
      <c r="AJ123" s="108"/>
      <c r="AK123" s="56"/>
      <c r="AL123" s="56"/>
      <c r="AM123" s="106" t="str">
        <f>IF([4]回答表!F17="簡易水道事業",IF([4]回答表!AD43="○",[4]回答表!B255,""),"")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IF([4]回答表!F17="下水道事業",IF([4]回答表!X43="○","○",""),"")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IF([4]回答表!F17="下水道事業",IF([4]回答表!X43="○",[4]回答表!B154,IF([4]回答表!AA43="○",[4]回答表!B201,"")),"")</f>
        <v>汚水処理施設の統廃合（農業集落排水の3処理区を一つに統合する。）</v>
      </c>
      <c r="AN135" s="107"/>
      <c r="AO135" s="107"/>
      <c r="AP135" s="107"/>
      <c r="AQ135" s="107"/>
      <c r="AR135" s="107"/>
      <c r="AS135" s="107"/>
      <c r="AT135" s="107"/>
      <c r="AU135" s="107"/>
      <c r="AV135" s="107"/>
      <c r="AW135" s="107"/>
      <c r="AX135" s="107"/>
      <c r="AY135" s="107"/>
      <c r="AZ135" s="107"/>
      <c r="BA135" s="107"/>
      <c r="BB135" s="108"/>
      <c r="BC135" s="40"/>
      <c r="BD135" s="35"/>
      <c r="BE135" s="115" t="str">
        <f>IF([4]回答表!F17="下水道事業",IF([4]回答表!X43="○",[4]回答表!B190,IF([4]回答表!AA43="○",[4]回答表!B238,"")),"")</f>
        <v>令和</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IF([4]回答表!F17="下水道事業",IF([4]回答表!X43="○",[4]回答表!Y184,IF([4]回答表!AA43="○",[4]回答表!Y232,"")),"")</f>
        <v>○</v>
      </c>
      <c r="V137" s="119"/>
      <c r="W137" s="119"/>
      <c r="X137" s="119"/>
      <c r="Y137" s="119"/>
      <c r="Z137" s="119"/>
      <c r="AA137" s="119"/>
      <c r="AB137" s="120"/>
      <c r="AC137" s="118">
        <f>IF([4]回答表!F17="下水道事業",IF([4]回答表!X43="○",[4]回答表!Y185,IF([4]回答表!AA43="○",[4]回答表!Y233,"")),"")</f>
        <v>0</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f>IF([4]回答表!F17="下水道事業",IF([4]回答表!X43="○",[4]回答表!E190,IF([4]回答表!AA43="○",[4]回答表!E238,"")),"")</f>
        <v>5</v>
      </c>
      <c r="BF138" s="83"/>
      <c r="BG138" s="83"/>
      <c r="BH138" s="83"/>
      <c r="BI138" s="82">
        <f>IF([4]回答表!F17="下水道事業",IF([4]回答表!X43="○",[4]回答表!E191,IF([4]回答表!AA43="○",[4]回答表!E239,"")),"")</f>
        <v>3</v>
      </c>
      <c r="BJ138" s="83"/>
      <c r="BK138" s="83"/>
      <c r="BL138" s="83"/>
      <c r="BM138" s="82">
        <f>IF([4]回答表!F17="下水道事業",IF([4]回答表!X43="○",[4]回答表!E192,IF([4]回答表!AA43="○",[4]回答表!E240,"")),"")</f>
        <v>31</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IF([4]回答表!F17="下水道事業",IF([4]回答表!AA43="○","○",""),"")</f>
        <v>○</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f>IF([4]回答表!F17="下水道事業",IF([4]回答表!X43="○",[4]回答表!Y186,IF([4]回答表!AA43="○",[4]回答表!Y234,"")),"")</f>
        <v>0</v>
      </c>
      <c r="V142" s="119"/>
      <c r="W142" s="119"/>
      <c r="X142" s="119"/>
      <c r="Y142" s="119"/>
      <c r="Z142" s="119"/>
      <c r="AA142" s="119"/>
      <c r="AB142" s="120"/>
      <c r="AC142" s="118">
        <f>IF([4]回答表!F17="下水道事業",IF([4]回答表!X43="○",[4]回答表!Y187,IF([4]回答表!AA43="○",[4]回答表!Y235,"")),"")</f>
        <v>0</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IF([4]回答表!F17="下水道事業",IF([4]回答表!AD43="○","○",""),"")</f>
        <v/>
      </c>
      <c r="O147" s="98"/>
      <c r="P147" s="98"/>
      <c r="Q147" s="99"/>
      <c r="R147" s="39"/>
      <c r="S147" s="39"/>
      <c r="T147" s="39"/>
      <c r="U147" s="106" t="str">
        <f>IF([4]回答表!F17="下水道事業",IF([4]回答表!AD43="○",[4]回答表!B249,""),"")</f>
        <v/>
      </c>
      <c r="V147" s="107"/>
      <c r="W147" s="107"/>
      <c r="X147" s="107"/>
      <c r="Y147" s="107"/>
      <c r="Z147" s="107"/>
      <c r="AA147" s="107"/>
      <c r="AB147" s="107"/>
      <c r="AC147" s="107"/>
      <c r="AD147" s="107"/>
      <c r="AE147" s="107"/>
      <c r="AF147" s="107"/>
      <c r="AG147" s="107"/>
      <c r="AH147" s="107"/>
      <c r="AI147" s="107"/>
      <c r="AJ147" s="108"/>
      <c r="AK147" s="56"/>
      <c r="AL147" s="56"/>
      <c r="AM147" s="106" t="str">
        <f>IF([4]回答表!F17="下水道事業",IF([4]回答表!AD43="○",[4]回答表!B255,""),"")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IF([4]回答表!BD17="○",IF([4]回答表!X43="○","○",""),"")</f>
        <v/>
      </c>
      <c r="O159" s="98"/>
      <c r="P159" s="98"/>
      <c r="Q159" s="99"/>
      <c r="R159" s="39"/>
      <c r="S159" s="39"/>
      <c r="T159" s="39"/>
      <c r="U159" s="106" t="str">
        <f>IF([4]回答表!BD17="○",IF([4]回答表!X43="○",[4]回答表!B154,IF([4]回答表!AA43="○",[4]回答表!B201,"")),"")</f>
        <v/>
      </c>
      <c r="V159" s="107"/>
      <c r="W159" s="107"/>
      <c r="X159" s="107"/>
      <c r="Y159" s="107"/>
      <c r="Z159" s="107"/>
      <c r="AA159" s="107"/>
      <c r="AB159" s="107"/>
      <c r="AC159" s="107"/>
      <c r="AD159" s="107"/>
      <c r="AE159" s="107"/>
      <c r="AF159" s="107"/>
      <c r="AG159" s="107"/>
      <c r="AH159" s="107"/>
      <c r="AI159" s="107"/>
      <c r="AJ159" s="108"/>
      <c r="AK159" s="50"/>
      <c r="AL159" s="50"/>
      <c r="AM159" s="115" t="str">
        <f>IF([4]回答表!BD17="○",IF([4]回答表!X43="○",[4]回答表!B190,IF([4]回答表!AA43="○",[4]回答表!B238,"")),"")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IF([4]回答表!BD17="○",IF([4]回答表!X43="○",[4]回答表!E190,IF([4]回答表!AA43="○",[4]回答表!E238,"")),"")</f>
        <v/>
      </c>
      <c r="AN162" s="83"/>
      <c r="AO162" s="83"/>
      <c r="AP162" s="83"/>
      <c r="AQ162" s="82" t="str">
        <f>IF([4]回答表!BD17="○",IF([4]回答表!X43="○",[4]回答表!E191,IF([4]回答表!AA43="○",[4]回答表!E239,"")),"")</f>
        <v/>
      </c>
      <c r="AR162" s="83"/>
      <c r="AS162" s="83"/>
      <c r="AT162" s="83"/>
      <c r="AU162" s="82" t="str">
        <f>IF([4]回答表!BD17="○",IF([4]回答表!X43="○",[4]回答表!E192,IF([4]回答表!AA43="○",[4]回答表!E240,"")),"")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IF([4]回答表!BD17="○",IF([4]回答表!AA43="○","○",""),"")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IF([4]回答表!BD17="○",IF([4]回答表!AD43="○","○",""),"")</f>
        <v/>
      </c>
      <c r="O171" s="98"/>
      <c r="P171" s="98"/>
      <c r="Q171" s="99"/>
      <c r="R171" s="39"/>
      <c r="S171" s="39"/>
      <c r="T171" s="39"/>
      <c r="U171" s="106" t="str">
        <f>IF([4]回答表!BD17="○",IF([4]回答表!AD43="○",[4]回答表!B249,""),"")</f>
        <v/>
      </c>
      <c r="V171" s="107"/>
      <c r="W171" s="107"/>
      <c r="X171" s="107"/>
      <c r="Y171" s="107"/>
      <c r="Z171" s="107"/>
      <c r="AA171" s="107"/>
      <c r="AB171" s="107"/>
      <c r="AC171" s="107"/>
      <c r="AD171" s="107"/>
      <c r="AE171" s="107"/>
      <c r="AF171" s="107"/>
      <c r="AG171" s="107"/>
      <c r="AH171" s="107"/>
      <c r="AI171" s="107"/>
      <c r="AJ171" s="108"/>
      <c r="AK171" s="56"/>
      <c r="AL171" s="56"/>
      <c r="AM171" s="106" t="str">
        <f>IF([4]回答表!BD17="○",IF([4]回答表!AD43="○",[4]回答表!B255,""),"")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IF([4]回答表!X44="○","○","")</f>
        <v/>
      </c>
      <c r="O183" s="98"/>
      <c r="P183" s="98"/>
      <c r="Q183" s="99"/>
      <c r="R183" s="39"/>
      <c r="S183" s="39"/>
      <c r="T183" s="39"/>
      <c r="U183" s="106" t="str">
        <f>IF([4]回答表!X44="○",[4]回答表!B266,IF([4]回答表!AA44="○",[4]回答表!B283,""))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IF([4]回答表!X44="○",[4]回答表!U272,IF([4]回答表!AA44="○",[4]回答表!U289,""))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IF([4]回答表!X44="○",[4]回答表!G272,IF([4]回答表!AA44="○",[4]回答表!G289,""))</f>
        <v/>
      </c>
      <c r="AN186" s="119"/>
      <c r="AO186" s="119"/>
      <c r="AP186" s="119"/>
      <c r="AQ186" s="119"/>
      <c r="AR186" s="119"/>
      <c r="AS186" s="119"/>
      <c r="AT186" s="120"/>
      <c r="AU186" s="118" t="str">
        <f>IF([4]回答表!X44="○",[4]回答表!G273,IF([4]回答表!AA44="○",[4]回答表!G290,""))</f>
        <v/>
      </c>
      <c r="AV186" s="119"/>
      <c r="AW186" s="119"/>
      <c r="AX186" s="119"/>
      <c r="AY186" s="119"/>
      <c r="AZ186" s="119"/>
      <c r="BA186" s="119"/>
      <c r="BB186" s="120"/>
      <c r="BC186" s="40"/>
      <c r="BD186" s="35"/>
      <c r="BE186" s="82" t="str">
        <f>IF([4]回答表!X44="○",[4]回答表!X272,IF([4]回答表!AA44="○",[4]回答表!X289,""))</f>
        <v/>
      </c>
      <c r="BF186" s="83"/>
      <c r="BG186" s="83"/>
      <c r="BH186" s="83"/>
      <c r="BI186" s="82" t="str">
        <f>IF([4]回答表!X44="○",[4]回答表!X273,IF([4]回答表!AA44="○",[4]回答表!X290,""))</f>
        <v/>
      </c>
      <c r="BJ186" s="83"/>
      <c r="BK186" s="83"/>
      <c r="BL186" s="86"/>
      <c r="BM186" s="82" t="str">
        <f>IF([4]回答表!X44="○",[4]回答表!X274,IF([4]回答表!AA44="○",[4]回答表!X291,""))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IF([4]回答表!AA44="○","○","")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IF([4]回答表!AD44="○","○","")</f>
        <v/>
      </c>
      <c r="O195" s="98"/>
      <c r="P195" s="98"/>
      <c r="Q195" s="99"/>
      <c r="R195" s="39"/>
      <c r="S195" s="39"/>
      <c r="T195" s="39"/>
      <c r="U195" s="106" t="str">
        <f>IF([4]回答表!AD44="○",[4]回答表!B296,"")</f>
        <v/>
      </c>
      <c r="V195" s="107"/>
      <c r="W195" s="107"/>
      <c r="X195" s="107"/>
      <c r="Y195" s="107"/>
      <c r="Z195" s="107"/>
      <c r="AA195" s="107"/>
      <c r="AB195" s="107"/>
      <c r="AC195" s="107"/>
      <c r="AD195" s="107"/>
      <c r="AE195" s="107"/>
      <c r="AF195" s="107"/>
      <c r="AG195" s="107"/>
      <c r="AH195" s="107"/>
      <c r="AI195" s="107"/>
      <c r="AJ195" s="108"/>
      <c r="AK195" s="61"/>
      <c r="AL195" s="61"/>
      <c r="AM195" s="106" t="str">
        <f>IF([4]回答表!AD44="○",[4]回答表!B302,"")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IF([4]回答表!X45="○","○","")</f>
        <v>○</v>
      </c>
      <c r="O207" s="98"/>
      <c r="P207" s="98"/>
      <c r="Q207" s="99"/>
      <c r="R207" s="39"/>
      <c r="S207" s="39"/>
      <c r="T207" s="39"/>
      <c r="U207" s="106" t="str">
        <f>IF([4]回答表!X45="○",[4]回答表!B314,IF([4]回答表!AA45="○",[4]回答表!B337,""))</f>
        <v>上下水道料金等関連業務について、事業提案型プロポーザル方式により委託者を選定し、委託契約を締結した。（期間５年）</v>
      </c>
      <c r="V207" s="107"/>
      <c r="W207" s="107"/>
      <c r="X207" s="107"/>
      <c r="Y207" s="107"/>
      <c r="Z207" s="107"/>
      <c r="AA207" s="107"/>
      <c r="AB207" s="107"/>
      <c r="AC207" s="107"/>
      <c r="AD207" s="107"/>
      <c r="AE207" s="107"/>
      <c r="AF207" s="107"/>
      <c r="AG207" s="107"/>
      <c r="AH207" s="107"/>
      <c r="AI207" s="107"/>
      <c r="AJ207" s="108"/>
      <c r="AK207" s="50"/>
      <c r="AL207" s="50"/>
      <c r="AM207" s="50"/>
      <c r="AN207" s="106" t="str">
        <f>IF([4]回答表!X45="○",[4]回答表!B320,"")</f>
        <v>窓口業務、検針調定業務、収納業務、還付業務、滞納整理業務、電算処理業務（料金システムを含む）、メーター交換業務、その他付帯業務　</v>
      </c>
      <c r="AO207" s="164"/>
      <c r="AP207" s="164"/>
      <c r="AQ207" s="164"/>
      <c r="AR207" s="164"/>
      <c r="AS207" s="164"/>
      <c r="AT207" s="164"/>
      <c r="AU207" s="164"/>
      <c r="AV207" s="164"/>
      <c r="AW207" s="164"/>
      <c r="AX207" s="164"/>
      <c r="AY207" s="164"/>
      <c r="AZ207" s="164"/>
      <c r="BA207" s="164"/>
      <c r="BB207" s="165"/>
      <c r="BC207" s="40"/>
      <c r="BD207" s="35"/>
      <c r="BE207" s="115" t="str">
        <f>IF([4]回答表!X45="○",[4]回答表!B326,IF([4]回答表!AA45="○",[4]回答表!B343,""))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f>IF([4]回答表!X45="○",[4]回答表!E326,IF([4]回答表!AA45="○",[4]回答表!E343,""))</f>
        <v>22</v>
      </c>
      <c r="BF210" s="83"/>
      <c r="BG210" s="83"/>
      <c r="BH210" s="83"/>
      <c r="BI210" s="82">
        <f>IF([4]回答表!X45="○",[4]回答表!E327,IF([4]回答表!AA45="○",[4]回答表!E344,""))</f>
        <v>11</v>
      </c>
      <c r="BJ210" s="83"/>
      <c r="BK210" s="83"/>
      <c r="BL210" s="86"/>
      <c r="BM210" s="82">
        <f>IF([4]回答表!X45="○",[4]回答表!E328,IF([4]回答表!AA45="○",[4]回答表!E345,""))</f>
        <v>30</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IF([4]回答表!AA45="○","○","")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IF([4]回答表!AD45="○","○","")</f>
        <v/>
      </c>
      <c r="O219" s="98"/>
      <c r="P219" s="98"/>
      <c r="Q219" s="99"/>
      <c r="R219" s="39"/>
      <c r="S219" s="39"/>
      <c r="T219" s="39"/>
      <c r="U219" s="106" t="str">
        <f>IF([4]回答表!AD45="○",[4]回答表!B350,"")</f>
        <v/>
      </c>
      <c r="V219" s="107"/>
      <c r="W219" s="107"/>
      <c r="X219" s="107"/>
      <c r="Y219" s="107"/>
      <c r="Z219" s="107"/>
      <c r="AA219" s="107"/>
      <c r="AB219" s="107"/>
      <c r="AC219" s="107"/>
      <c r="AD219" s="107"/>
      <c r="AE219" s="107"/>
      <c r="AF219" s="107"/>
      <c r="AG219" s="107"/>
      <c r="AH219" s="107"/>
      <c r="AI219" s="107"/>
      <c r="AJ219" s="108"/>
      <c r="AK219" s="61"/>
      <c r="AL219" s="61"/>
      <c r="AM219" s="106" t="str">
        <f>IF([4]回答表!AD45="○",[4]回答表!B356,"")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IF([4]回答表!X46="○","○","")</f>
        <v/>
      </c>
      <c r="O231" s="98"/>
      <c r="P231" s="98"/>
      <c r="Q231" s="99"/>
      <c r="R231" s="39"/>
      <c r="S231" s="39"/>
      <c r="T231" s="39"/>
      <c r="U231" s="106" t="str">
        <f>IF([4]回答表!X46="○",[4]回答表!B368,IF([4]回答表!AA46="○",[4]回答表!B382,""))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IF([4]回答表!X46="○",[4]回答表!BC375,IF([4]回答表!AA46="○",[4]回答表!BC389,""))</f>
        <v/>
      </c>
      <c r="AR231" s="150"/>
      <c r="AS231" s="150"/>
      <c r="AT231" s="150"/>
      <c r="AU231" s="155" t="s">
        <v>63</v>
      </c>
      <c r="AV231" s="156"/>
      <c r="AW231" s="156"/>
      <c r="AX231" s="157"/>
      <c r="AY231" s="150" t="str">
        <f>IF([4]回答表!X46="○",[4]回答表!BC380,IF([4]回答表!AA46="○",[4]回答表!BC394,""))</f>
        <v/>
      </c>
      <c r="AZ231" s="150"/>
      <c r="BA231" s="150"/>
      <c r="BB231" s="150"/>
      <c r="BC231" s="40"/>
      <c r="BD231" s="35"/>
      <c r="BE231" s="115" t="str">
        <f>IF([4]回答表!X46="○",[4]回答表!S374,IF([4]回答表!AA46="○",[4]回答表!S388,""))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IF([4]回答表!X46="○",[4]回答表!BC376,IF([4]回答表!AA46="○",[4]回答表!BC390,""))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IF([4]回答表!X46="○",[4]回答表!V374,IF([4]回答表!AA46="○",[4]回答表!V388,""))</f>
        <v/>
      </c>
      <c r="BF234" s="83"/>
      <c r="BG234" s="83"/>
      <c r="BH234" s="83"/>
      <c r="BI234" s="82" t="str">
        <f>IF([4]回答表!X46="○",[4]回答表!V375,IF([4]回答表!AA46="○",[4]回答表!V389,""))</f>
        <v/>
      </c>
      <c r="BJ234" s="83"/>
      <c r="BK234" s="83"/>
      <c r="BL234" s="86"/>
      <c r="BM234" s="82" t="str">
        <f>IF([4]回答表!X46="○",[4]回答表!V376,IF([4]回答表!AA46="○",[4]回答表!V390,""))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IF([4]回答表!X46="○",[4]回答表!BC377,IF([4]回答表!AA46="○",[4]回答表!BC391,""))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IF([4]回答表!X46="○",[4]回答表!BC381,IF([4]回答表!AA46="○",[4]回答表!BC395,""))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IF([4]回答表!AA46="○","○","")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IF([4]回答表!X46="○",[4]回答表!BC378,IF([4]回答表!AA46="○",[4]回答表!BC392,""))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IF([4]回答表!X46="○",[4]回答表!BC379,IF([4]回答表!AA46="○",[4]回答表!BC393,""))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IF([4]回答表!AD46="○","○","")</f>
        <v/>
      </c>
      <c r="O243" s="98"/>
      <c r="P243" s="98"/>
      <c r="Q243" s="99"/>
      <c r="R243" s="39"/>
      <c r="S243" s="39"/>
      <c r="T243" s="39"/>
      <c r="U243" s="106" t="str">
        <f>IF([4]回答表!AD46="○",[4]回答表!B396,"")</f>
        <v/>
      </c>
      <c r="V243" s="107"/>
      <c r="W243" s="107"/>
      <c r="X243" s="107"/>
      <c r="Y243" s="107"/>
      <c r="Z243" s="107"/>
      <c r="AA243" s="107"/>
      <c r="AB243" s="107"/>
      <c r="AC243" s="107"/>
      <c r="AD243" s="107"/>
      <c r="AE243" s="107"/>
      <c r="AF243" s="107"/>
      <c r="AG243" s="107"/>
      <c r="AH243" s="107"/>
      <c r="AI243" s="107"/>
      <c r="AJ243" s="108"/>
      <c r="AK243" s="56"/>
      <c r="AL243" s="56"/>
      <c r="AM243" s="106" t="str">
        <f>IF([4]回答表!AD46="○",[4]回答表!B402,"")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IF([4]回答表!X47="○","○","")</f>
        <v/>
      </c>
      <c r="O254" s="98"/>
      <c r="P254" s="98"/>
      <c r="Q254" s="99"/>
      <c r="R254" s="39"/>
      <c r="S254" s="39"/>
      <c r="T254" s="39"/>
      <c r="U254" s="106" t="str">
        <f>IF([4]回答表!X47="○",[4]回答表!B414,IF([4]回答表!AA47="○",[4]回答表!B431,""))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IF([4]回答表!X47="○",[4]回答表!B424,IF([4]回答表!AA47="○",[4]回答表!B441,""))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IF([4]回答表!X47="○",[4]回答表!G420,IF([4]回答表!AA47="○",[4]回答表!G437,""))</f>
        <v/>
      </c>
      <c r="AN256" s="119"/>
      <c r="AO256" s="119"/>
      <c r="AP256" s="119"/>
      <c r="AQ256" s="119"/>
      <c r="AR256" s="119"/>
      <c r="AS256" s="119"/>
      <c r="AT256" s="120"/>
      <c r="AU256" s="118" t="str">
        <f>IF([4]回答表!X47="○",[4]回答表!G421,IF([4]回答表!AA47="○",[4]回答表!G438,""))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IF([4]回答表!X47="○",[4]回答表!E424,IF([4]回答表!AA47="○",[4]回答表!E441,""))</f>
        <v/>
      </c>
      <c r="BF257" s="83"/>
      <c r="BG257" s="83"/>
      <c r="BH257" s="83"/>
      <c r="BI257" s="82" t="str">
        <f>IF([4]回答表!X47="○",[4]回答表!E425,IF([4]回答表!AA47="○",[4]回答表!E442,""))</f>
        <v/>
      </c>
      <c r="BJ257" s="83"/>
      <c r="BK257" s="83"/>
      <c r="BL257" s="86"/>
      <c r="BM257" s="82" t="str">
        <f>IF([4]回答表!X47="○",[4]回答表!E426,IF([4]回答表!AA47="○",[4]回答表!E443,""))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IF([4]回答表!AA47="○","○","")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IF([4]回答表!AD47="○","○","")</f>
        <v/>
      </c>
      <c r="O266" s="98"/>
      <c r="P266" s="98"/>
      <c r="Q266" s="99"/>
      <c r="R266" s="39"/>
      <c r="S266" s="39"/>
      <c r="T266" s="39"/>
      <c r="U266" s="106" t="str">
        <f>IF([4]回答表!AD47="○",[4]回答表!B448,"")</f>
        <v/>
      </c>
      <c r="V266" s="107"/>
      <c r="W266" s="107"/>
      <c r="X266" s="107"/>
      <c r="Y266" s="107"/>
      <c r="Z266" s="107"/>
      <c r="AA266" s="107"/>
      <c r="AB266" s="107"/>
      <c r="AC266" s="107"/>
      <c r="AD266" s="107"/>
      <c r="AE266" s="107"/>
      <c r="AF266" s="107"/>
      <c r="AG266" s="107"/>
      <c r="AH266" s="107"/>
      <c r="AI266" s="107"/>
      <c r="AJ266" s="108"/>
      <c r="AK266" s="50"/>
      <c r="AL266" s="50"/>
      <c r="AM266" s="106" t="str">
        <f>IF([4]回答表!AD47="○",[4]回答表!B454,"")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IF([4]回答表!R48="○",[4]回答表!B467,"")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07CDB-1858-46BE-9B78-5EBCE175676A}">
  <sheetPr>
    <pageSetUpPr fitToPage="1"/>
  </sheetPr>
  <dimension ref="A1:CE298"/>
  <sheetViews>
    <sheetView showZeros="0" zoomScale="55" zoomScaleNormal="55" workbookViewId="0">
      <selection activeCell="AY322" sqref="AY322:AZ322"/>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IF(COUNTIF([5]回答表!K15,"*")&gt;0,[5]回答表!K15,"")</f>
        <v>横手市</v>
      </c>
      <c r="D11" s="246"/>
      <c r="E11" s="246"/>
      <c r="F11" s="246"/>
      <c r="G11" s="246"/>
      <c r="H11" s="246"/>
      <c r="I11" s="246"/>
      <c r="J11" s="246"/>
      <c r="K11" s="246"/>
      <c r="L11" s="246"/>
      <c r="M11" s="246"/>
      <c r="N11" s="246"/>
      <c r="O11" s="246"/>
      <c r="P11" s="246"/>
      <c r="Q11" s="246"/>
      <c r="R11" s="246"/>
      <c r="S11" s="246"/>
      <c r="T11" s="246"/>
      <c r="U11" s="253" t="str">
        <f>IF(COUNTIF([5]回答表!F17,"*")&gt;0,[5]回答表!F17,"")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IF(COUNTIF([5]回答表!W17,"*")&gt;0,[5]回答表!W17,"")</f>
        <v>林業集落排水施設</v>
      </c>
      <c r="AP11" s="248"/>
      <c r="AQ11" s="248"/>
      <c r="AR11" s="248"/>
      <c r="AS11" s="248"/>
      <c r="AT11" s="248"/>
      <c r="AU11" s="248"/>
      <c r="AV11" s="248"/>
      <c r="AW11" s="248"/>
      <c r="AX11" s="248"/>
      <c r="AY11" s="248"/>
      <c r="AZ11" s="248"/>
      <c r="BA11" s="248"/>
      <c r="BB11" s="248"/>
      <c r="BC11" s="248"/>
      <c r="BD11" s="248"/>
      <c r="BE11" s="249"/>
      <c r="BF11" s="252" t="str">
        <f>IF(COUNTIF([5]回答表!F19,"*")&gt;0,[5]回答表!F19,"")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IF([5]回答表!R41="○","○","")</f>
        <v/>
      </c>
      <c r="E24" s="122"/>
      <c r="F24" s="122"/>
      <c r="G24" s="122"/>
      <c r="H24" s="122"/>
      <c r="I24" s="122"/>
      <c r="J24" s="123"/>
      <c r="K24" s="121" t="str">
        <f>IF([5]回答表!R42="○","○","")</f>
        <v/>
      </c>
      <c r="L24" s="122"/>
      <c r="M24" s="122"/>
      <c r="N24" s="122"/>
      <c r="O24" s="122"/>
      <c r="P24" s="122"/>
      <c r="Q24" s="123"/>
      <c r="R24" s="121" t="str">
        <f>IF([5]回答表!R43="○","○","")</f>
        <v/>
      </c>
      <c r="S24" s="122"/>
      <c r="T24" s="122"/>
      <c r="U24" s="122"/>
      <c r="V24" s="122"/>
      <c r="W24" s="122"/>
      <c r="X24" s="123"/>
      <c r="Y24" s="121" t="str">
        <f>IF([5]回答表!R44="○","○","")</f>
        <v/>
      </c>
      <c r="Z24" s="122"/>
      <c r="AA24" s="122"/>
      <c r="AB24" s="122"/>
      <c r="AC24" s="122"/>
      <c r="AD24" s="122"/>
      <c r="AE24" s="123"/>
      <c r="AF24" s="121" t="str">
        <f>IF([5]回答表!R45="○","○","")</f>
        <v>○</v>
      </c>
      <c r="AG24" s="122"/>
      <c r="AH24" s="122"/>
      <c r="AI24" s="122"/>
      <c r="AJ24" s="122"/>
      <c r="AK24" s="122"/>
      <c r="AL24" s="123"/>
      <c r="AM24" s="121" t="str">
        <f>IF([5]回答表!R46="○","○","")</f>
        <v/>
      </c>
      <c r="AN24" s="122"/>
      <c r="AO24" s="122"/>
      <c r="AP24" s="122"/>
      <c r="AQ24" s="122"/>
      <c r="AR24" s="122"/>
      <c r="AS24" s="123"/>
      <c r="AT24" s="121" t="str">
        <f>IF([5]回答表!R47="○","○","")</f>
        <v/>
      </c>
      <c r="AU24" s="122"/>
      <c r="AV24" s="122"/>
      <c r="AW24" s="122"/>
      <c r="AX24" s="122"/>
      <c r="AY24" s="122"/>
      <c r="AZ24" s="123"/>
      <c r="BA24" s="19"/>
      <c r="BB24" s="118" t="str">
        <f>IF([5]回答表!R48="○","○","")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IF([5]回答表!X41="○","○","")</f>
        <v/>
      </c>
      <c r="O36" s="98"/>
      <c r="P36" s="98"/>
      <c r="Q36" s="99"/>
      <c r="R36" s="39"/>
      <c r="S36" s="39"/>
      <c r="T36" s="39"/>
      <c r="U36" s="106" t="str">
        <f>IF([5]回答表!X41="○",[5]回答表!B56,IF([5]回答表!AA41="○",[5]回答表!B76,""))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IF([5]回答表!X41="○",[5]回答表!S62,IF([5]回答表!AA41="○",[5]回答表!S82,""))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IF([5]回答表!X41="○",[5]回答表!G62,IF([5]回答表!AA41="○",[5]回答表!G82,""))</f>
        <v/>
      </c>
      <c r="AN38" s="119"/>
      <c r="AO38" s="119"/>
      <c r="AP38" s="119"/>
      <c r="AQ38" s="119"/>
      <c r="AR38" s="119"/>
      <c r="AS38" s="119"/>
      <c r="AT38" s="120"/>
      <c r="AU38" s="118" t="str">
        <f>IF([5]回答表!X41="○",[5]回答表!G63,IF([5]回答表!AA41="○",[5]回答表!G83,""))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IF([5]回答表!X41="○",[5]回答表!V62,IF([5]回答表!AA41="○",[5]回答表!V82,""))</f>
        <v/>
      </c>
      <c r="BF39" s="199"/>
      <c r="BG39" s="199"/>
      <c r="BH39" s="200"/>
      <c r="BI39" s="82" t="str">
        <f>IF([5]回答表!X41="○",[5]回答表!V63,IF([5]回答表!AA41="○",[5]回答表!V83,""))</f>
        <v/>
      </c>
      <c r="BJ39" s="199"/>
      <c r="BK39" s="199"/>
      <c r="BL39" s="200"/>
      <c r="BM39" s="82" t="str">
        <f>IF([5]回答表!X41="○",[5]回答表!V64,IF([5]回答表!AA41="○",[5]回答表!V84,""))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IF([5]回答表!X41="○",[5]回答表!O68,IF([5]回答表!AA41="○",[5]回答表!O88,""))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IF([5]回答表!X41="○",[5]回答表!O69,IF([5]回答表!AA41="○",[5]回答表!O89,""))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IF([5]回答表!AA41="○","○","")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IF([5]回答表!X41="○",[5]回答表!O70,IF([5]回答表!AA41="○",[5]回答表!O90,""))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IF([5]回答表!X41="○",[5]回答表!O71,IF([5]回答表!AA41="○",[5]回答表!O91,""))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IF([5]回答表!X41="○",[5]回答表!AG68,IF([5]回答表!AA41="○",[5]回答表!AG88,""))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IF([5]回答表!X41="○",[5]回答表!AG69,IF([5]回答表!AA41="○",[5]回答表!AG89,""))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IF([5]回答表!X41="○",[5]回答表!AG70,IF([5]回答表!AA41="○",[5]回答表!AG90,""))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IF([5]回答表!AD41="○","○","")</f>
        <v/>
      </c>
      <c r="O52" s="98"/>
      <c r="P52" s="98"/>
      <c r="Q52" s="99"/>
      <c r="R52" s="39"/>
      <c r="S52" s="39"/>
      <c r="T52" s="39"/>
      <c r="U52" s="106" t="str">
        <f>IF([5]回答表!AD41="○",[5]回答表!B96,"")</f>
        <v/>
      </c>
      <c r="V52" s="107"/>
      <c r="W52" s="107"/>
      <c r="X52" s="107"/>
      <c r="Y52" s="107"/>
      <c r="Z52" s="107"/>
      <c r="AA52" s="107"/>
      <c r="AB52" s="107"/>
      <c r="AC52" s="107"/>
      <c r="AD52" s="107"/>
      <c r="AE52" s="107"/>
      <c r="AF52" s="107"/>
      <c r="AG52" s="107"/>
      <c r="AH52" s="107"/>
      <c r="AI52" s="107"/>
      <c r="AJ52" s="108"/>
      <c r="AK52" s="56"/>
      <c r="AL52" s="56"/>
      <c r="AM52" s="106" t="str">
        <f>IF([5]回答表!AD41="○",[5]回答表!B101,"")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IF([5]回答表!X42="○","○","")</f>
        <v/>
      </c>
      <c r="O63" s="98"/>
      <c r="P63" s="98"/>
      <c r="Q63" s="99"/>
      <c r="R63" s="39"/>
      <c r="S63" s="39"/>
      <c r="T63" s="39"/>
      <c r="U63" s="106" t="str">
        <f>IF([5]回答表!X42="○",[5]回答表!B111,IF([5]回答表!AA42="○",[5]回答表!B124,""))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IF([5]回答表!X42="○",[5]回答表!S117,IF([5]回答表!AA42="○",[5]回答表!S130,""))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IF([5]回答表!X42="○",[5]回答表!J117,IF([5]回答表!AA42="○",[5]回答表!J130,""))</f>
        <v/>
      </c>
      <c r="AN66" s="119"/>
      <c r="AO66" s="119"/>
      <c r="AP66" s="119"/>
      <c r="AQ66" s="119"/>
      <c r="AR66" s="119"/>
      <c r="AS66" s="119"/>
      <c r="AT66" s="120"/>
      <c r="AU66" s="118" t="str">
        <f>IF([5]回答表!X42="○",[5]回答表!J118,IF([5]回答表!AA42="○",[5]回答表!J131,""))</f>
        <v/>
      </c>
      <c r="AV66" s="119"/>
      <c r="AW66" s="119"/>
      <c r="AX66" s="119"/>
      <c r="AY66" s="119"/>
      <c r="AZ66" s="119"/>
      <c r="BA66" s="119"/>
      <c r="BB66" s="120"/>
      <c r="BC66" s="40"/>
      <c r="BD66" s="35"/>
      <c r="BE66" s="82" t="str">
        <f>IF([5]回答表!X42="○",[5]回答表!V117,IF([5]回答表!AA42="○",[5]回答表!V130,""))</f>
        <v/>
      </c>
      <c r="BF66" s="83"/>
      <c r="BG66" s="83"/>
      <c r="BH66" s="83"/>
      <c r="BI66" s="82" t="str">
        <f>IF([5]回答表!X42="○",[5]回答表!V118,IF([5]回答表!AA42="○",[5]回答表!V131,""))</f>
        <v/>
      </c>
      <c r="BJ66" s="83"/>
      <c r="BK66" s="83"/>
      <c r="BL66" s="83"/>
      <c r="BM66" s="82" t="str">
        <f>IF([5]回答表!X42="○",[5]回答表!V119,IF([5]回答表!AA42="○",[5]回答表!V132,""))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IF([5]回答表!AA42="○","○","")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IF([5]回答表!AD42="○","○","")</f>
        <v/>
      </c>
      <c r="O75" s="98"/>
      <c r="P75" s="98"/>
      <c r="Q75" s="99"/>
      <c r="R75" s="39"/>
      <c r="S75" s="39"/>
      <c r="T75" s="39"/>
      <c r="U75" s="106" t="str">
        <f>IF([5]回答表!AD42="○",[5]回答表!B137,"")</f>
        <v/>
      </c>
      <c r="V75" s="107"/>
      <c r="W75" s="107"/>
      <c r="X75" s="107"/>
      <c r="Y75" s="107"/>
      <c r="Z75" s="107"/>
      <c r="AA75" s="107"/>
      <c r="AB75" s="107"/>
      <c r="AC75" s="107"/>
      <c r="AD75" s="107"/>
      <c r="AE75" s="107"/>
      <c r="AF75" s="107"/>
      <c r="AG75" s="107"/>
      <c r="AH75" s="107"/>
      <c r="AI75" s="107"/>
      <c r="AJ75" s="108"/>
      <c r="AK75" s="56"/>
      <c r="AL75" s="56"/>
      <c r="AM75" s="106" t="str">
        <f>IF([5]回答表!AD42="○",[5]回答表!B143,"")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IF([5]回答表!F17="水道事業",IF([5]回答表!X43="○","○",""),"")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IF([5]回答表!F17="水道事業",IF([5]回答表!X43="○",[5]回答表!B154,IF([5]回答表!AA43="○",[5]回答表!B201,"")),"")</f>
        <v/>
      </c>
      <c r="AN87" s="107"/>
      <c r="AO87" s="107"/>
      <c r="AP87" s="107"/>
      <c r="AQ87" s="107"/>
      <c r="AR87" s="107"/>
      <c r="AS87" s="107"/>
      <c r="AT87" s="107"/>
      <c r="AU87" s="107"/>
      <c r="AV87" s="107"/>
      <c r="AW87" s="107"/>
      <c r="AX87" s="107"/>
      <c r="AY87" s="107"/>
      <c r="AZ87" s="107"/>
      <c r="BA87" s="107"/>
      <c r="BB87" s="108"/>
      <c r="BC87" s="40"/>
      <c r="BD87" s="35"/>
      <c r="BE87" s="115" t="str">
        <f>IF([5]回答表!F17="水道事業",IF([5]回答表!X43="○",[5]回答表!B190,IF([5]回答表!AA43="○",[5]回答表!B238,"")),"")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IF([5]回答表!F17="水道事業",IF([5]回答表!X43="○",[5]回答表!J162,IF([5]回答表!AA43="○",[5]回答表!J209,"")),"")</f>
        <v/>
      </c>
      <c r="V89" s="119"/>
      <c r="W89" s="119"/>
      <c r="X89" s="119"/>
      <c r="Y89" s="119"/>
      <c r="Z89" s="119"/>
      <c r="AA89" s="119"/>
      <c r="AB89" s="120"/>
      <c r="AC89" s="118" t="str">
        <f>IF([5]回答表!F17="水道事業",IF([5]回答表!X43="○",[5]回答表!J169,IF([5]回答表!AA43="○",[5]回答表!J216,"")),"")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IF([5]回答表!F17="水道事業",IF([5]回答表!X43="○",[5]回答表!E190,IF([5]回答表!AA43="○",[5]回答表!E238,"")),"")</f>
        <v/>
      </c>
      <c r="BF90" s="83"/>
      <c r="BG90" s="83"/>
      <c r="BH90" s="83"/>
      <c r="BI90" s="82" t="str">
        <f>IF([5]回答表!F17="水道事業",IF([5]回答表!X43="○",[5]回答表!E191,IF([5]回答表!AA43="○",[5]回答表!E239,"")),"")</f>
        <v/>
      </c>
      <c r="BJ90" s="83"/>
      <c r="BK90" s="83"/>
      <c r="BL90" s="83"/>
      <c r="BM90" s="82" t="str">
        <f>IF([5]回答表!F17="水道事業",IF([5]回答表!X43="○",[5]回答表!E192,IF([5]回答表!AA43="○",[5]回答表!E240,"")),"")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IF([5]回答表!F17="水道事業",IF([5]回答表!AA43="○","○",""),"")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IF([5]回答表!F17="水道事業",IF([5]回答表!X43="○",[5]回答表!J172,IF([5]回答表!AA43="○",[5]回答表!J219,"")),"")</f>
        <v/>
      </c>
      <c r="V94" s="119"/>
      <c r="W94" s="119"/>
      <c r="X94" s="119"/>
      <c r="Y94" s="119"/>
      <c r="Z94" s="119"/>
      <c r="AA94" s="119"/>
      <c r="AB94" s="120"/>
      <c r="AC94" s="118" t="str">
        <f>IF([5]回答表!F17="水道事業",IF([5]回答表!X43="○",[5]回答表!J176,IF([5]回答表!AA43="○",[5]回答表!J223,"")),"")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IF([5]回答表!F17="水道事業",IF([5]回答表!AD43="○","○",""),"")</f>
        <v/>
      </c>
      <c r="O99" s="98"/>
      <c r="P99" s="98"/>
      <c r="Q99" s="99"/>
      <c r="R99" s="39"/>
      <c r="S99" s="39"/>
      <c r="T99" s="39"/>
      <c r="U99" s="106" t="str">
        <f>IF([5]回答表!F17="水道事業",IF([5]回答表!AD43="○",[5]回答表!B249,""),"")</f>
        <v/>
      </c>
      <c r="V99" s="107"/>
      <c r="W99" s="107"/>
      <c r="X99" s="107"/>
      <c r="Y99" s="107"/>
      <c r="Z99" s="107"/>
      <c r="AA99" s="107"/>
      <c r="AB99" s="107"/>
      <c r="AC99" s="107"/>
      <c r="AD99" s="107"/>
      <c r="AE99" s="107"/>
      <c r="AF99" s="107"/>
      <c r="AG99" s="107"/>
      <c r="AH99" s="107"/>
      <c r="AI99" s="107"/>
      <c r="AJ99" s="108"/>
      <c r="AK99" s="56"/>
      <c r="AL99" s="56"/>
      <c r="AM99" s="106" t="str">
        <f>IF([5]回答表!F17="水道事業",IF([5]回答表!AD43="○",[5]回答表!B255,""),"")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IF([5]回答表!F17="簡易水道事業",IF([5]回答表!X43="○","○",""),"")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IF([5]回答表!F17="簡易水道事業",IF([5]回答表!X43="○",[5]回答表!B154,IF([5]回答表!AA43="○",[5]回答表!B201,"")),"")</f>
        <v/>
      </c>
      <c r="AN111" s="107"/>
      <c r="AO111" s="107"/>
      <c r="AP111" s="107"/>
      <c r="AQ111" s="107"/>
      <c r="AR111" s="107"/>
      <c r="AS111" s="107"/>
      <c r="AT111" s="107"/>
      <c r="AU111" s="107"/>
      <c r="AV111" s="107"/>
      <c r="AW111" s="107"/>
      <c r="AX111" s="107"/>
      <c r="AY111" s="107"/>
      <c r="AZ111" s="107"/>
      <c r="BA111" s="107"/>
      <c r="BB111" s="108"/>
      <c r="BC111" s="40"/>
      <c r="BD111" s="35"/>
      <c r="BE111" s="115" t="str">
        <f>IF([5]回答表!F17="簡易水道事業",IF([5]回答表!X43="○",[5]回答表!B190,IF([5]回答表!AA43="○",[5]回答表!B238,"")),"")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IF([5]回答表!F17="簡易水道事業",IF([5]回答表!X43="○",[5]回答表!Y181,IF([5]回答表!AA43="○",[5]回答表!Y229,"")),"")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IF([5]回答表!F17="簡易水道事業",IF([5]回答表!X43="○",[5]回答表!E190,IF([5]回答表!AA43="○",[5]回答表!E238,"")),"")</f>
        <v/>
      </c>
      <c r="BF114" s="83"/>
      <c r="BG114" s="83"/>
      <c r="BH114" s="83"/>
      <c r="BI114" s="82" t="str">
        <f>IF([5]回答表!F17="簡易水道事業",IF([5]回答表!X43="○",[5]回答表!E191,IF([5]回答表!AA43="○",[5]回答表!E239,"")),"")</f>
        <v/>
      </c>
      <c r="BJ114" s="83"/>
      <c r="BK114" s="83"/>
      <c r="BL114" s="83"/>
      <c r="BM114" s="82" t="str">
        <f>IF([5]回答表!F17="簡易水道事業",IF([5]回答表!X43="○",[5]回答表!E192,IF([5]回答表!AA43="○",[5]回答表!E240,"")),"")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IF([5]回答表!F17="簡易水道事業",IF([5]回答表!AA43="○","○",""),"")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IF([5]回答表!F17="簡易水道事業",IF([5]回答表!X43="○",[5]回答表!Y182,IF([5]回答表!AA43="○",[5]回答表!Y230,"")),"")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IF([5]回答表!F17="簡易水道事業",IF([5]回答表!AD43="○","○",""),"")</f>
        <v/>
      </c>
      <c r="O123" s="98"/>
      <c r="P123" s="98"/>
      <c r="Q123" s="99"/>
      <c r="R123" s="39"/>
      <c r="S123" s="39"/>
      <c r="T123" s="39"/>
      <c r="U123" s="106" t="str">
        <f>IF([5]回答表!F17="簡易水道事業",IF([5]回答表!AD43="○",[5]回答表!B249,""),"")</f>
        <v/>
      </c>
      <c r="V123" s="107"/>
      <c r="W123" s="107"/>
      <c r="X123" s="107"/>
      <c r="Y123" s="107"/>
      <c r="Z123" s="107"/>
      <c r="AA123" s="107"/>
      <c r="AB123" s="107"/>
      <c r="AC123" s="107"/>
      <c r="AD123" s="107"/>
      <c r="AE123" s="107"/>
      <c r="AF123" s="107"/>
      <c r="AG123" s="107"/>
      <c r="AH123" s="107"/>
      <c r="AI123" s="107"/>
      <c r="AJ123" s="108"/>
      <c r="AK123" s="56"/>
      <c r="AL123" s="56"/>
      <c r="AM123" s="106" t="str">
        <f>IF([5]回答表!F17="簡易水道事業",IF([5]回答表!AD43="○",[5]回答表!B255,""),"")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IF([5]回答表!F17="下水道事業",IF([5]回答表!X43="○","○",""),"")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IF([5]回答表!F17="下水道事業",IF([5]回答表!X43="○",[5]回答表!B154,IF([5]回答表!AA43="○",[5]回答表!B201,"")),"")</f>
        <v/>
      </c>
      <c r="AN135" s="107"/>
      <c r="AO135" s="107"/>
      <c r="AP135" s="107"/>
      <c r="AQ135" s="107"/>
      <c r="AR135" s="107"/>
      <c r="AS135" s="107"/>
      <c r="AT135" s="107"/>
      <c r="AU135" s="107"/>
      <c r="AV135" s="107"/>
      <c r="AW135" s="107"/>
      <c r="AX135" s="107"/>
      <c r="AY135" s="107"/>
      <c r="AZ135" s="107"/>
      <c r="BA135" s="107"/>
      <c r="BB135" s="108"/>
      <c r="BC135" s="40"/>
      <c r="BD135" s="35"/>
      <c r="BE135" s="115" t="str">
        <f>IF([5]回答表!F17="下水道事業",IF([5]回答表!X43="○",[5]回答表!B190,IF([5]回答表!AA43="○",[5]回答表!B238,"")),"")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IF([5]回答表!F17="下水道事業",IF([5]回答表!X43="○",[5]回答表!Y184,IF([5]回答表!AA43="○",[5]回答表!Y232,"")),"")</f>
        <v/>
      </c>
      <c r="V137" s="119"/>
      <c r="W137" s="119"/>
      <c r="X137" s="119"/>
      <c r="Y137" s="119"/>
      <c r="Z137" s="119"/>
      <c r="AA137" s="119"/>
      <c r="AB137" s="120"/>
      <c r="AC137" s="118" t="str">
        <f>IF([5]回答表!F17="下水道事業",IF([5]回答表!X43="○",[5]回答表!Y185,IF([5]回答表!AA43="○",[5]回答表!Y233,"")),"")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IF([5]回答表!F17="下水道事業",IF([5]回答表!X43="○",[5]回答表!E190,IF([5]回答表!AA43="○",[5]回答表!E238,"")),"")</f>
        <v/>
      </c>
      <c r="BF138" s="83"/>
      <c r="BG138" s="83"/>
      <c r="BH138" s="83"/>
      <c r="BI138" s="82" t="str">
        <f>IF([5]回答表!F17="下水道事業",IF([5]回答表!X43="○",[5]回答表!E191,IF([5]回答表!AA43="○",[5]回答表!E239,"")),"")</f>
        <v/>
      </c>
      <c r="BJ138" s="83"/>
      <c r="BK138" s="83"/>
      <c r="BL138" s="83"/>
      <c r="BM138" s="82" t="str">
        <f>IF([5]回答表!F17="下水道事業",IF([5]回答表!X43="○",[5]回答表!E192,IF([5]回答表!AA43="○",[5]回答表!E240,"")),"")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IF([5]回答表!F17="下水道事業",IF([5]回答表!AA43="○","○",""),"")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IF([5]回答表!F17="下水道事業",IF([5]回答表!X43="○",[5]回答表!Y186,IF([5]回答表!AA43="○",[5]回答表!Y234,"")),"")</f>
        <v/>
      </c>
      <c r="V142" s="119"/>
      <c r="W142" s="119"/>
      <c r="X142" s="119"/>
      <c r="Y142" s="119"/>
      <c r="Z142" s="119"/>
      <c r="AA142" s="119"/>
      <c r="AB142" s="120"/>
      <c r="AC142" s="118" t="str">
        <f>IF([5]回答表!F17="下水道事業",IF([5]回答表!X43="○",[5]回答表!Y187,IF([5]回答表!AA43="○",[5]回答表!Y235,"")),"")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IF([5]回答表!F17="下水道事業",IF([5]回答表!AD43="○","○",""),"")</f>
        <v/>
      </c>
      <c r="O147" s="98"/>
      <c r="P147" s="98"/>
      <c r="Q147" s="99"/>
      <c r="R147" s="39"/>
      <c r="S147" s="39"/>
      <c r="T147" s="39"/>
      <c r="U147" s="106" t="str">
        <f>IF([5]回答表!F17="下水道事業",IF([5]回答表!AD43="○",[5]回答表!B249,""),"")</f>
        <v/>
      </c>
      <c r="V147" s="107"/>
      <c r="W147" s="107"/>
      <c r="X147" s="107"/>
      <c r="Y147" s="107"/>
      <c r="Z147" s="107"/>
      <c r="AA147" s="107"/>
      <c r="AB147" s="107"/>
      <c r="AC147" s="107"/>
      <c r="AD147" s="107"/>
      <c r="AE147" s="107"/>
      <c r="AF147" s="107"/>
      <c r="AG147" s="107"/>
      <c r="AH147" s="107"/>
      <c r="AI147" s="107"/>
      <c r="AJ147" s="108"/>
      <c r="AK147" s="56"/>
      <c r="AL147" s="56"/>
      <c r="AM147" s="106" t="str">
        <f>IF([5]回答表!F17="下水道事業",IF([5]回答表!AD43="○",[5]回答表!B255,""),"")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IF([5]回答表!BD17="○",IF([5]回答表!X43="○","○",""),"")</f>
        <v/>
      </c>
      <c r="O159" s="98"/>
      <c r="P159" s="98"/>
      <c r="Q159" s="99"/>
      <c r="R159" s="39"/>
      <c r="S159" s="39"/>
      <c r="T159" s="39"/>
      <c r="U159" s="106" t="str">
        <f>IF([5]回答表!BD17="○",IF([5]回答表!X43="○",[5]回答表!B154,IF([5]回答表!AA43="○",[5]回答表!B201,"")),"")</f>
        <v/>
      </c>
      <c r="V159" s="107"/>
      <c r="W159" s="107"/>
      <c r="X159" s="107"/>
      <c r="Y159" s="107"/>
      <c r="Z159" s="107"/>
      <c r="AA159" s="107"/>
      <c r="AB159" s="107"/>
      <c r="AC159" s="107"/>
      <c r="AD159" s="107"/>
      <c r="AE159" s="107"/>
      <c r="AF159" s="107"/>
      <c r="AG159" s="107"/>
      <c r="AH159" s="107"/>
      <c r="AI159" s="107"/>
      <c r="AJ159" s="108"/>
      <c r="AK159" s="50"/>
      <c r="AL159" s="50"/>
      <c r="AM159" s="115" t="str">
        <f>IF([5]回答表!BD17="○",IF([5]回答表!X43="○",[5]回答表!B190,IF([5]回答表!AA43="○",[5]回答表!B238,"")),"")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IF([5]回答表!BD17="○",IF([5]回答表!X43="○",[5]回答表!E190,IF([5]回答表!AA43="○",[5]回答表!E238,"")),"")</f>
        <v/>
      </c>
      <c r="AN162" s="83"/>
      <c r="AO162" s="83"/>
      <c r="AP162" s="83"/>
      <c r="AQ162" s="82" t="str">
        <f>IF([5]回答表!BD17="○",IF([5]回答表!X43="○",[5]回答表!E191,IF([5]回答表!AA43="○",[5]回答表!E239,"")),"")</f>
        <v/>
      </c>
      <c r="AR162" s="83"/>
      <c r="AS162" s="83"/>
      <c r="AT162" s="83"/>
      <c r="AU162" s="82" t="str">
        <f>IF([5]回答表!BD17="○",IF([5]回答表!X43="○",[5]回答表!E192,IF([5]回答表!AA43="○",[5]回答表!E240,"")),"")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IF([5]回答表!BD17="○",IF([5]回答表!AA43="○","○",""),"")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IF([5]回答表!BD17="○",IF([5]回答表!AD43="○","○",""),"")</f>
        <v/>
      </c>
      <c r="O171" s="98"/>
      <c r="P171" s="98"/>
      <c r="Q171" s="99"/>
      <c r="R171" s="39"/>
      <c r="S171" s="39"/>
      <c r="T171" s="39"/>
      <c r="U171" s="106" t="str">
        <f>IF([5]回答表!BD17="○",IF([5]回答表!AD43="○",[5]回答表!B249,""),"")</f>
        <v/>
      </c>
      <c r="V171" s="107"/>
      <c r="W171" s="107"/>
      <c r="X171" s="107"/>
      <c r="Y171" s="107"/>
      <c r="Z171" s="107"/>
      <c r="AA171" s="107"/>
      <c r="AB171" s="107"/>
      <c r="AC171" s="107"/>
      <c r="AD171" s="107"/>
      <c r="AE171" s="107"/>
      <c r="AF171" s="107"/>
      <c r="AG171" s="107"/>
      <c r="AH171" s="107"/>
      <c r="AI171" s="107"/>
      <c r="AJ171" s="108"/>
      <c r="AK171" s="56"/>
      <c r="AL171" s="56"/>
      <c r="AM171" s="106" t="str">
        <f>IF([5]回答表!BD17="○",IF([5]回答表!AD43="○",[5]回答表!B255,""),"")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IF([5]回答表!X44="○","○","")</f>
        <v/>
      </c>
      <c r="O183" s="98"/>
      <c r="P183" s="98"/>
      <c r="Q183" s="99"/>
      <c r="R183" s="39"/>
      <c r="S183" s="39"/>
      <c r="T183" s="39"/>
      <c r="U183" s="106" t="str">
        <f>IF([5]回答表!X44="○",[5]回答表!B266,IF([5]回答表!AA44="○",[5]回答表!B283,""))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IF([5]回答表!X44="○",[5]回答表!U272,IF([5]回答表!AA44="○",[5]回答表!U289,""))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IF([5]回答表!X44="○",[5]回答表!G272,IF([5]回答表!AA44="○",[5]回答表!G289,""))</f>
        <v/>
      </c>
      <c r="AN186" s="119"/>
      <c r="AO186" s="119"/>
      <c r="AP186" s="119"/>
      <c r="AQ186" s="119"/>
      <c r="AR186" s="119"/>
      <c r="AS186" s="119"/>
      <c r="AT186" s="120"/>
      <c r="AU186" s="118" t="str">
        <f>IF([5]回答表!X44="○",[5]回答表!G273,IF([5]回答表!AA44="○",[5]回答表!G290,""))</f>
        <v/>
      </c>
      <c r="AV186" s="119"/>
      <c r="AW186" s="119"/>
      <c r="AX186" s="119"/>
      <c r="AY186" s="119"/>
      <c r="AZ186" s="119"/>
      <c r="BA186" s="119"/>
      <c r="BB186" s="120"/>
      <c r="BC186" s="40"/>
      <c r="BD186" s="35"/>
      <c r="BE186" s="82" t="str">
        <f>IF([5]回答表!X44="○",[5]回答表!X272,IF([5]回答表!AA44="○",[5]回答表!X289,""))</f>
        <v/>
      </c>
      <c r="BF186" s="83"/>
      <c r="BG186" s="83"/>
      <c r="BH186" s="83"/>
      <c r="BI186" s="82" t="str">
        <f>IF([5]回答表!X44="○",[5]回答表!X273,IF([5]回答表!AA44="○",[5]回答表!X290,""))</f>
        <v/>
      </c>
      <c r="BJ186" s="83"/>
      <c r="BK186" s="83"/>
      <c r="BL186" s="86"/>
      <c r="BM186" s="82" t="str">
        <f>IF([5]回答表!X44="○",[5]回答表!X274,IF([5]回答表!AA44="○",[5]回答表!X291,""))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IF([5]回答表!AA44="○","○","")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IF([5]回答表!AD44="○","○","")</f>
        <v/>
      </c>
      <c r="O195" s="98"/>
      <c r="P195" s="98"/>
      <c r="Q195" s="99"/>
      <c r="R195" s="39"/>
      <c r="S195" s="39"/>
      <c r="T195" s="39"/>
      <c r="U195" s="106" t="str">
        <f>IF([5]回答表!AD44="○",[5]回答表!B296,"")</f>
        <v/>
      </c>
      <c r="V195" s="107"/>
      <c r="W195" s="107"/>
      <c r="X195" s="107"/>
      <c r="Y195" s="107"/>
      <c r="Z195" s="107"/>
      <c r="AA195" s="107"/>
      <c r="AB195" s="107"/>
      <c r="AC195" s="107"/>
      <c r="AD195" s="107"/>
      <c r="AE195" s="107"/>
      <c r="AF195" s="107"/>
      <c r="AG195" s="107"/>
      <c r="AH195" s="107"/>
      <c r="AI195" s="107"/>
      <c r="AJ195" s="108"/>
      <c r="AK195" s="61"/>
      <c r="AL195" s="61"/>
      <c r="AM195" s="106" t="str">
        <f>IF([5]回答表!AD44="○",[5]回答表!B302,"")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IF([5]回答表!X45="○","○","")</f>
        <v>○</v>
      </c>
      <c r="O207" s="98"/>
      <c r="P207" s="98"/>
      <c r="Q207" s="99"/>
      <c r="R207" s="39"/>
      <c r="S207" s="39"/>
      <c r="T207" s="39"/>
      <c r="U207" s="106" t="str">
        <f>IF([5]回答表!X45="○",[5]回答表!B314,IF([5]回答表!AA45="○",[5]回答表!B337,""))</f>
        <v>上下水道料金等関連業務について、事業提案型プロポーザル方式により委託者を選定し、委託契約を締結した。（期間５年）</v>
      </c>
      <c r="V207" s="107"/>
      <c r="W207" s="107"/>
      <c r="X207" s="107"/>
      <c r="Y207" s="107"/>
      <c r="Z207" s="107"/>
      <c r="AA207" s="107"/>
      <c r="AB207" s="107"/>
      <c r="AC207" s="107"/>
      <c r="AD207" s="107"/>
      <c r="AE207" s="107"/>
      <c r="AF207" s="107"/>
      <c r="AG207" s="107"/>
      <c r="AH207" s="107"/>
      <c r="AI207" s="107"/>
      <c r="AJ207" s="108"/>
      <c r="AK207" s="50"/>
      <c r="AL207" s="50"/>
      <c r="AM207" s="50"/>
      <c r="AN207" s="106" t="str">
        <f>IF([5]回答表!X45="○",[5]回答表!B320,"")</f>
        <v>窓口業務、検針調定業務、収納業務、還付業務、滞納整理業務、電算処理業務（料金システムを含む）、メーター交換業務、その他付帯業務　</v>
      </c>
      <c r="AO207" s="164"/>
      <c r="AP207" s="164"/>
      <c r="AQ207" s="164"/>
      <c r="AR207" s="164"/>
      <c r="AS207" s="164"/>
      <c r="AT207" s="164"/>
      <c r="AU207" s="164"/>
      <c r="AV207" s="164"/>
      <c r="AW207" s="164"/>
      <c r="AX207" s="164"/>
      <c r="AY207" s="164"/>
      <c r="AZ207" s="164"/>
      <c r="BA207" s="164"/>
      <c r="BB207" s="165"/>
      <c r="BC207" s="40"/>
      <c r="BD207" s="35"/>
      <c r="BE207" s="115" t="str">
        <f>IF([5]回答表!X45="○",[5]回答表!B326,IF([5]回答表!AA45="○",[5]回答表!B343,""))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f>IF([5]回答表!X45="○",[5]回答表!E326,IF([5]回答表!AA45="○",[5]回答表!E343,""))</f>
        <v>22</v>
      </c>
      <c r="BF210" s="83"/>
      <c r="BG210" s="83"/>
      <c r="BH210" s="83"/>
      <c r="BI210" s="82">
        <f>IF([5]回答表!X45="○",[5]回答表!E327,IF([5]回答表!AA45="○",[5]回答表!E344,""))</f>
        <v>11</v>
      </c>
      <c r="BJ210" s="83"/>
      <c r="BK210" s="83"/>
      <c r="BL210" s="86"/>
      <c r="BM210" s="82">
        <f>IF([5]回答表!X45="○",[5]回答表!E328,IF([5]回答表!AA45="○",[5]回答表!E345,""))</f>
        <v>30</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IF([5]回答表!AA45="○","○","")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IF([5]回答表!AD45="○","○","")</f>
        <v/>
      </c>
      <c r="O219" s="98"/>
      <c r="P219" s="98"/>
      <c r="Q219" s="99"/>
      <c r="R219" s="39"/>
      <c r="S219" s="39"/>
      <c r="T219" s="39"/>
      <c r="U219" s="106" t="str">
        <f>IF([5]回答表!AD45="○",[5]回答表!B350,"")</f>
        <v/>
      </c>
      <c r="V219" s="107"/>
      <c r="W219" s="107"/>
      <c r="X219" s="107"/>
      <c r="Y219" s="107"/>
      <c r="Z219" s="107"/>
      <c r="AA219" s="107"/>
      <c r="AB219" s="107"/>
      <c r="AC219" s="107"/>
      <c r="AD219" s="107"/>
      <c r="AE219" s="107"/>
      <c r="AF219" s="107"/>
      <c r="AG219" s="107"/>
      <c r="AH219" s="107"/>
      <c r="AI219" s="107"/>
      <c r="AJ219" s="108"/>
      <c r="AK219" s="61"/>
      <c r="AL219" s="61"/>
      <c r="AM219" s="106" t="str">
        <f>IF([5]回答表!AD45="○",[5]回答表!B356,"")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IF([5]回答表!X46="○","○","")</f>
        <v/>
      </c>
      <c r="O231" s="98"/>
      <c r="P231" s="98"/>
      <c r="Q231" s="99"/>
      <c r="R231" s="39"/>
      <c r="S231" s="39"/>
      <c r="T231" s="39"/>
      <c r="U231" s="106" t="str">
        <f>IF([5]回答表!X46="○",[5]回答表!B368,IF([5]回答表!AA46="○",[5]回答表!B382,""))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IF([5]回答表!X46="○",[5]回答表!BC375,IF([5]回答表!AA46="○",[5]回答表!BC389,""))</f>
        <v/>
      </c>
      <c r="AR231" s="150"/>
      <c r="AS231" s="150"/>
      <c r="AT231" s="150"/>
      <c r="AU231" s="155" t="s">
        <v>63</v>
      </c>
      <c r="AV231" s="156"/>
      <c r="AW231" s="156"/>
      <c r="AX231" s="157"/>
      <c r="AY231" s="150" t="str">
        <f>IF([5]回答表!X46="○",[5]回答表!BC380,IF([5]回答表!AA46="○",[5]回答表!BC394,""))</f>
        <v/>
      </c>
      <c r="AZ231" s="150"/>
      <c r="BA231" s="150"/>
      <c r="BB231" s="150"/>
      <c r="BC231" s="40"/>
      <c r="BD231" s="35"/>
      <c r="BE231" s="115" t="str">
        <f>IF([5]回答表!X46="○",[5]回答表!S374,IF([5]回答表!AA46="○",[5]回答表!S388,""))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IF([5]回答表!X46="○",[5]回答表!BC376,IF([5]回答表!AA46="○",[5]回答表!BC390,""))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IF([5]回答表!X46="○",[5]回答表!V374,IF([5]回答表!AA46="○",[5]回答表!V388,""))</f>
        <v/>
      </c>
      <c r="BF234" s="83"/>
      <c r="BG234" s="83"/>
      <c r="BH234" s="83"/>
      <c r="BI234" s="82" t="str">
        <f>IF([5]回答表!X46="○",[5]回答表!V375,IF([5]回答表!AA46="○",[5]回答表!V389,""))</f>
        <v/>
      </c>
      <c r="BJ234" s="83"/>
      <c r="BK234" s="83"/>
      <c r="BL234" s="86"/>
      <c r="BM234" s="82" t="str">
        <f>IF([5]回答表!X46="○",[5]回答表!V376,IF([5]回答表!AA46="○",[5]回答表!V390,""))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IF([5]回答表!X46="○",[5]回答表!BC377,IF([5]回答表!AA46="○",[5]回答表!BC391,""))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IF([5]回答表!X46="○",[5]回答表!BC381,IF([5]回答表!AA46="○",[5]回答表!BC395,""))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IF([5]回答表!AA46="○","○","")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IF([5]回答表!X46="○",[5]回答表!BC378,IF([5]回答表!AA46="○",[5]回答表!BC392,""))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IF([5]回答表!X46="○",[5]回答表!BC379,IF([5]回答表!AA46="○",[5]回答表!BC393,""))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IF([5]回答表!AD46="○","○","")</f>
        <v/>
      </c>
      <c r="O243" s="98"/>
      <c r="P243" s="98"/>
      <c r="Q243" s="99"/>
      <c r="R243" s="39"/>
      <c r="S243" s="39"/>
      <c r="T243" s="39"/>
      <c r="U243" s="106" t="str">
        <f>IF([5]回答表!AD46="○",[5]回答表!B396,"")</f>
        <v/>
      </c>
      <c r="V243" s="107"/>
      <c r="W243" s="107"/>
      <c r="X243" s="107"/>
      <c r="Y243" s="107"/>
      <c r="Z243" s="107"/>
      <c r="AA243" s="107"/>
      <c r="AB243" s="107"/>
      <c r="AC243" s="107"/>
      <c r="AD243" s="107"/>
      <c r="AE243" s="107"/>
      <c r="AF243" s="107"/>
      <c r="AG243" s="107"/>
      <c r="AH243" s="107"/>
      <c r="AI243" s="107"/>
      <c r="AJ243" s="108"/>
      <c r="AK243" s="56"/>
      <c r="AL243" s="56"/>
      <c r="AM243" s="106" t="str">
        <f>IF([5]回答表!AD46="○",[5]回答表!B402,"")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IF([5]回答表!X47="○","○","")</f>
        <v/>
      </c>
      <c r="O254" s="98"/>
      <c r="P254" s="98"/>
      <c r="Q254" s="99"/>
      <c r="R254" s="39"/>
      <c r="S254" s="39"/>
      <c r="T254" s="39"/>
      <c r="U254" s="106" t="str">
        <f>IF([5]回答表!X47="○",[5]回答表!B414,IF([5]回答表!AA47="○",[5]回答表!B431,""))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IF([5]回答表!X47="○",[5]回答表!B424,IF([5]回答表!AA47="○",[5]回答表!B441,""))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IF([5]回答表!X47="○",[5]回答表!G420,IF([5]回答表!AA47="○",[5]回答表!G437,""))</f>
        <v/>
      </c>
      <c r="AN256" s="119"/>
      <c r="AO256" s="119"/>
      <c r="AP256" s="119"/>
      <c r="AQ256" s="119"/>
      <c r="AR256" s="119"/>
      <c r="AS256" s="119"/>
      <c r="AT256" s="120"/>
      <c r="AU256" s="118" t="str">
        <f>IF([5]回答表!X47="○",[5]回答表!G421,IF([5]回答表!AA47="○",[5]回答表!G438,""))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IF([5]回答表!X47="○",[5]回答表!E424,IF([5]回答表!AA47="○",[5]回答表!E441,""))</f>
        <v/>
      </c>
      <c r="BF257" s="83"/>
      <c r="BG257" s="83"/>
      <c r="BH257" s="83"/>
      <c r="BI257" s="82" t="str">
        <f>IF([5]回答表!X47="○",[5]回答表!E425,IF([5]回答表!AA47="○",[5]回答表!E442,""))</f>
        <v/>
      </c>
      <c r="BJ257" s="83"/>
      <c r="BK257" s="83"/>
      <c r="BL257" s="86"/>
      <c r="BM257" s="82" t="str">
        <f>IF([5]回答表!X47="○",[5]回答表!E426,IF([5]回答表!AA47="○",[5]回答表!E443,""))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IF([5]回答表!AA47="○","○","")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IF([5]回答表!AD47="○","○","")</f>
        <v/>
      </c>
      <c r="O266" s="98"/>
      <c r="P266" s="98"/>
      <c r="Q266" s="99"/>
      <c r="R266" s="39"/>
      <c r="S266" s="39"/>
      <c r="T266" s="39"/>
      <c r="U266" s="106" t="str">
        <f>IF([5]回答表!AD47="○",[5]回答表!B448,"")</f>
        <v/>
      </c>
      <c r="V266" s="107"/>
      <c r="W266" s="107"/>
      <c r="X266" s="107"/>
      <c r="Y266" s="107"/>
      <c r="Z266" s="107"/>
      <c r="AA266" s="107"/>
      <c r="AB266" s="107"/>
      <c r="AC266" s="107"/>
      <c r="AD266" s="107"/>
      <c r="AE266" s="107"/>
      <c r="AF266" s="107"/>
      <c r="AG266" s="107"/>
      <c r="AH266" s="107"/>
      <c r="AI266" s="107"/>
      <c r="AJ266" s="108"/>
      <c r="AK266" s="50"/>
      <c r="AL266" s="50"/>
      <c r="AM266" s="106" t="str">
        <f>IF([5]回答表!AD47="○",[5]回答表!B454,"")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IF([5]回答表!R48="○",[5]回答表!B467,"")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ACE6-AB14-4475-9C11-4798C4464B99}">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IF(COUNTIF([2]回答表!K15,"*")&gt;0,[2]回答表!K15,"")</f>
        <v>横手市</v>
      </c>
      <c r="D11" s="246"/>
      <c r="E11" s="246"/>
      <c r="F11" s="246"/>
      <c r="G11" s="246"/>
      <c r="H11" s="246"/>
      <c r="I11" s="246"/>
      <c r="J11" s="246"/>
      <c r="K11" s="246"/>
      <c r="L11" s="246"/>
      <c r="M11" s="246"/>
      <c r="N11" s="246"/>
      <c r="O11" s="246"/>
      <c r="P11" s="246"/>
      <c r="Q11" s="246"/>
      <c r="R11" s="246"/>
      <c r="S11" s="246"/>
      <c r="T11" s="246"/>
      <c r="U11" s="253" t="str">
        <f>IF(COUNTIF([2]回答表!F17,"*")&gt;0,[2]回答表!F17,"")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IF(COUNTIF([2]回答表!W17,"*")&gt;0,[2]回答表!W17,"")</f>
        <v>小規模集合排水施設</v>
      </c>
      <c r="AP11" s="248"/>
      <c r="AQ11" s="248"/>
      <c r="AR11" s="248"/>
      <c r="AS11" s="248"/>
      <c r="AT11" s="248"/>
      <c r="AU11" s="248"/>
      <c r="AV11" s="248"/>
      <c r="AW11" s="248"/>
      <c r="AX11" s="248"/>
      <c r="AY11" s="248"/>
      <c r="AZ11" s="248"/>
      <c r="BA11" s="248"/>
      <c r="BB11" s="248"/>
      <c r="BC11" s="248"/>
      <c r="BD11" s="248"/>
      <c r="BE11" s="249"/>
      <c r="BF11" s="252" t="str">
        <f>IF(COUNTIF([2]回答表!F19,"*")&gt;0,[2]回答表!F19,"")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IF([2]回答表!R41="○","○","")</f>
        <v/>
      </c>
      <c r="E24" s="122"/>
      <c r="F24" s="122"/>
      <c r="G24" s="122"/>
      <c r="H24" s="122"/>
      <c r="I24" s="122"/>
      <c r="J24" s="123"/>
      <c r="K24" s="121" t="str">
        <f>IF([2]回答表!R42="○","○","")</f>
        <v/>
      </c>
      <c r="L24" s="122"/>
      <c r="M24" s="122"/>
      <c r="N24" s="122"/>
      <c r="O24" s="122"/>
      <c r="P24" s="122"/>
      <c r="Q24" s="123"/>
      <c r="R24" s="121" t="str">
        <f>IF([2]回答表!R43="○","○","")</f>
        <v/>
      </c>
      <c r="S24" s="122"/>
      <c r="T24" s="122"/>
      <c r="U24" s="122"/>
      <c r="V24" s="122"/>
      <c r="W24" s="122"/>
      <c r="X24" s="123"/>
      <c r="Y24" s="121" t="str">
        <f>IF([2]回答表!R44="○","○","")</f>
        <v/>
      </c>
      <c r="Z24" s="122"/>
      <c r="AA24" s="122"/>
      <c r="AB24" s="122"/>
      <c r="AC24" s="122"/>
      <c r="AD24" s="122"/>
      <c r="AE24" s="123"/>
      <c r="AF24" s="121" t="str">
        <f>IF([2]回答表!R45="○","○","")</f>
        <v>○</v>
      </c>
      <c r="AG24" s="122"/>
      <c r="AH24" s="122"/>
      <c r="AI24" s="122"/>
      <c r="AJ24" s="122"/>
      <c r="AK24" s="122"/>
      <c r="AL24" s="123"/>
      <c r="AM24" s="121" t="str">
        <f>IF([2]回答表!R46="○","○","")</f>
        <v/>
      </c>
      <c r="AN24" s="122"/>
      <c r="AO24" s="122"/>
      <c r="AP24" s="122"/>
      <c r="AQ24" s="122"/>
      <c r="AR24" s="122"/>
      <c r="AS24" s="123"/>
      <c r="AT24" s="121" t="str">
        <f>IF([2]回答表!R47="○","○","")</f>
        <v/>
      </c>
      <c r="AU24" s="122"/>
      <c r="AV24" s="122"/>
      <c r="AW24" s="122"/>
      <c r="AX24" s="122"/>
      <c r="AY24" s="122"/>
      <c r="AZ24" s="123"/>
      <c r="BA24" s="19"/>
      <c r="BB24" s="118" t="str">
        <f>IF([2]回答表!R48="○","○","")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IF([2]回答表!X41="○","○","")</f>
        <v/>
      </c>
      <c r="O36" s="98"/>
      <c r="P36" s="98"/>
      <c r="Q36" s="99"/>
      <c r="R36" s="39"/>
      <c r="S36" s="39"/>
      <c r="T36" s="39"/>
      <c r="U36" s="106" t="str">
        <f>IF([2]回答表!X41="○",[2]回答表!B56,IF([2]回答表!AA41="○",[2]回答表!B76,""))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IF([2]回答表!X41="○",[2]回答表!S62,IF([2]回答表!AA41="○",[2]回答表!S82,""))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IF([2]回答表!X41="○",[2]回答表!G62,IF([2]回答表!AA41="○",[2]回答表!G82,""))</f>
        <v/>
      </c>
      <c r="AN38" s="119"/>
      <c r="AO38" s="119"/>
      <c r="AP38" s="119"/>
      <c r="AQ38" s="119"/>
      <c r="AR38" s="119"/>
      <c r="AS38" s="119"/>
      <c r="AT38" s="120"/>
      <c r="AU38" s="118" t="str">
        <f>IF([2]回答表!X41="○",[2]回答表!G63,IF([2]回答表!AA41="○",[2]回答表!G83,""))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IF([2]回答表!X41="○",[2]回答表!V62,IF([2]回答表!AA41="○",[2]回答表!V82,""))</f>
        <v/>
      </c>
      <c r="BF39" s="199"/>
      <c r="BG39" s="199"/>
      <c r="BH39" s="200"/>
      <c r="BI39" s="82" t="str">
        <f>IF([2]回答表!X41="○",[2]回答表!V63,IF([2]回答表!AA41="○",[2]回答表!V83,""))</f>
        <v/>
      </c>
      <c r="BJ39" s="199"/>
      <c r="BK39" s="199"/>
      <c r="BL39" s="200"/>
      <c r="BM39" s="82" t="str">
        <f>IF([2]回答表!X41="○",[2]回答表!V64,IF([2]回答表!AA41="○",[2]回答表!V84,""))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IF([2]回答表!X41="○",[2]回答表!O68,IF([2]回答表!AA41="○",[2]回答表!O88,""))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IF([2]回答表!X41="○",[2]回答表!O69,IF([2]回答表!AA41="○",[2]回答表!O89,""))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IF([2]回答表!AA41="○","○","")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IF([2]回答表!X41="○",[2]回答表!O70,IF([2]回答表!AA41="○",[2]回答表!O90,""))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IF([2]回答表!X41="○",[2]回答表!O71,IF([2]回答表!AA41="○",[2]回答表!O91,""))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IF([2]回答表!X41="○",[2]回答表!AG68,IF([2]回答表!AA41="○",[2]回答表!AG88,""))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IF([2]回答表!X41="○",[2]回答表!AG69,IF([2]回答表!AA41="○",[2]回答表!AG89,""))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IF([2]回答表!X41="○",[2]回答表!AG70,IF([2]回答表!AA41="○",[2]回答表!AG90,""))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IF([2]回答表!AD41="○","○","")</f>
        <v/>
      </c>
      <c r="O52" s="98"/>
      <c r="P52" s="98"/>
      <c r="Q52" s="99"/>
      <c r="R52" s="39"/>
      <c r="S52" s="39"/>
      <c r="T52" s="39"/>
      <c r="U52" s="106" t="str">
        <f>IF([2]回答表!AD41="○",[2]回答表!B96,"")</f>
        <v/>
      </c>
      <c r="V52" s="107"/>
      <c r="W52" s="107"/>
      <c r="X52" s="107"/>
      <c r="Y52" s="107"/>
      <c r="Z52" s="107"/>
      <c r="AA52" s="107"/>
      <c r="AB52" s="107"/>
      <c r="AC52" s="107"/>
      <c r="AD52" s="107"/>
      <c r="AE52" s="107"/>
      <c r="AF52" s="107"/>
      <c r="AG52" s="107"/>
      <c r="AH52" s="107"/>
      <c r="AI52" s="107"/>
      <c r="AJ52" s="108"/>
      <c r="AK52" s="56"/>
      <c r="AL52" s="56"/>
      <c r="AM52" s="106" t="str">
        <f>IF([2]回答表!AD41="○",[2]回答表!B101,"")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IF([2]回答表!X42="○","○","")</f>
        <v/>
      </c>
      <c r="O63" s="98"/>
      <c r="P63" s="98"/>
      <c r="Q63" s="99"/>
      <c r="R63" s="39"/>
      <c r="S63" s="39"/>
      <c r="T63" s="39"/>
      <c r="U63" s="106" t="str">
        <f>IF([2]回答表!X42="○",[2]回答表!B111,IF([2]回答表!AA42="○",[2]回答表!B124,""))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IF([2]回答表!X42="○",[2]回答表!S117,IF([2]回答表!AA42="○",[2]回答表!S130,""))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IF([2]回答表!X42="○",[2]回答表!J117,IF([2]回答表!AA42="○",[2]回答表!J130,""))</f>
        <v/>
      </c>
      <c r="AN66" s="119"/>
      <c r="AO66" s="119"/>
      <c r="AP66" s="119"/>
      <c r="AQ66" s="119"/>
      <c r="AR66" s="119"/>
      <c r="AS66" s="119"/>
      <c r="AT66" s="120"/>
      <c r="AU66" s="118" t="str">
        <f>IF([2]回答表!X42="○",[2]回答表!J118,IF([2]回答表!AA42="○",[2]回答表!J131,""))</f>
        <v/>
      </c>
      <c r="AV66" s="119"/>
      <c r="AW66" s="119"/>
      <c r="AX66" s="119"/>
      <c r="AY66" s="119"/>
      <c r="AZ66" s="119"/>
      <c r="BA66" s="119"/>
      <c r="BB66" s="120"/>
      <c r="BC66" s="40"/>
      <c r="BD66" s="35"/>
      <c r="BE66" s="82" t="str">
        <f>IF([2]回答表!X42="○",[2]回答表!V117,IF([2]回答表!AA42="○",[2]回答表!V130,""))</f>
        <v/>
      </c>
      <c r="BF66" s="83"/>
      <c r="BG66" s="83"/>
      <c r="BH66" s="83"/>
      <c r="BI66" s="82" t="str">
        <f>IF([2]回答表!X42="○",[2]回答表!V118,IF([2]回答表!AA42="○",[2]回答表!V131,""))</f>
        <v/>
      </c>
      <c r="BJ66" s="83"/>
      <c r="BK66" s="83"/>
      <c r="BL66" s="83"/>
      <c r="BM66" s="82" t="str">
        <f>IF([2]回答表!X42="○",[2]回答表!V119,IF([2]回答表!AA42="○",[2]回答表!V132,""))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IF([2]回答表!AA42="○","○","")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IF([2]回答表!AD42="○","○","")</f>
        <v/>
      </c>
      <c r="O75" s="98"/>
      <c r="P75" s="98"/>
      <c r="Q75" s="99"/>
      <c r="R75" s="39"/>
      <c r="S75" s="39"/>
      <c r="T75" s="39"/>
      <c r="U75" s="106" t="str">
        <f>IF([2]回答表!AD42="○",[2]回答表!B137,"")</f>
        <v/>
      </c>
      <c r="V75" s="107"/>
      <c r="W75" s="107"/>
      <c r="X75" s="107"/>
      <c r="Y75" s="107"/>
      <c r="Z75" s="107"/>
      <c r="AA75" s="107"/>
      <c r="AB75" s="107"/>
      <c r="AC75" s="107"/>
      <c r="AD75" s="107"/>
      <c r="AE75" s="107"/>
      <c r="AF75" s="107"/>
      <c r="AG75" s="107"/>
      <c r="AH75" s="107"/>
      <c r="AI75" s="107"/>
      <c r="AJ75" s="108"/>
      <c r="AK75" s="56"/>
      <c r="AL75" s="56"/>
      <c r="AM75" s="106" t="str">
        <f>IF([2]回答表!AD42="○",[2]回答表!B143,"")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IF([2]回答表!F17="水道事業",IF([2]回答表!X43="○","○",""),"")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IF([2]回答表!F17="水道事業",IF([2]回答表!X43="○",[2]回答表!B154,IF([2]回答表!AA43="○",[2]回答表!B201,"")),"")</f>
        <v/>
      </c>
      <c r="AN87" s="107"/>
      <c r="AO87" s="107"/>
      <c r="AP87" s="107"/>
      <c r="AQ87" s="107"/>
      <c r="AR87" s="107"/>
      <c r="AS87" s="107"/>
      <c r="AT87" s="107"/>
      <c r="AU87" s="107"/>
      <c r="AV87" s="107"/>
      <c r="AW87" s="107"/>
      <c r="AX87" s="107"/>
      <c r="AY87" s="107"/>
      <c r="AZ87" s="107"/>
      <c r="BA87" s="107"/>
      <c r="BB87" s="108"/>
      <c r="BC87" s="40"/>
      <c r="BD87" s="35"/>
      <c r="BE87" s="115" t="str">
        <f>IF([2]回答表!F17="水道事業",IF([2]回答表!X43="○",[2]回答表!B190,IF([2]回答表!AA43="○",[2]回答表!B238,"")),"")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IF([2]回答表!F17="水道事業",IF([2]回答表!X43="○",[2]回答表!J162,IF([2]回答表!AA43="○",[2]回答表!J209,"")),"")</f>
        <v/>
      </c>
      <c r="V89" s="119"/>
      <c r="W89" s="119"/>
      <c r="X89" s="119"/>
      <c r="Y89" s="119"/>
      <c r="Z89" s="119"/>
      <c r="AA89" s="119"/>
      <c r="AB89" s="120"/>
      <c r="AC89" s="118" t="str">
        <f>IF([2]回答表!F17="水道事業",IF([2]回答表!X43="○",[2]回答表!J169,IF([2]回答表!AA43="○",[2]回答表!J216,"")),"")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IF([2]回答表!F17="水道事業",IF([2]回答表!X43="○",[2]回答表!E190,IF([2]回答表!AA43="○",[2]回答表!E238,"")),"")</f>
        <v/>
      </c>
      <c r="BF90" s="83"/>
      <c r="BG90" s="83"/>
      <c r="BH90" s="83"/>
      <c r="BI90" s="82" t="str">
        <f>IF([2]回答表!F17="水道事業",IF([2]回答表!X43="○",[2]回答表!E191,IF([2]回答表!AA43="○",[2]回答表!E239,"")),"")</f>
        <v/>
      </c>
      <c r="BJ90" s="83"/>
      <c r="BK90" s="83"/>
      <c r="BL90" s="83"/>
      <c r="BM90" s="82" t="str">
        <f>IF([2]回答表!F17="水道事業",IF([2]回答表!X43="○",[2]回答表!E192,IF([2]回答表!AA43="○",[2]回答表!E240,"")),"")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IF([2]回答表!F17="水道事業",IF([2]回答表!AA43="○","○",""),"")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IF([2]回答表!F17="水道事業",IF([2]回答表!X43="○",[2]回答表!J172,IF([2]回答表!AA43="○",[2]回答表!J219,"")),"")</f>
        <v/>
      </c>
      <c r="V94" s="119"/>
      <c r="W94" s="119"/>
      <c r="X94" s="119"/>
      <c r="Y94" s="119"/>
      <c r="Z94" s="119"/>
      <c r="AA94" s="119"/>
      <c r="AB94" s="120"/>
      <c r="AC94" s="118" t="str">
        <f>IF([2]回答表!F17="水道事業",IF([2]回答表!X43="○",[2]回答表!J176,IF([2]回答表!AA43="○",[2]回答表!J223,"")),"")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IF([2]回答表!F17="水道事業",IF([2]回答表!AD43="○","○",""),"")</f>
        <v/>
      </c>
      <c r="O99" s="98"/>
      <c r="P99" s="98"/>
      <c r="Q99" s="99"/>
      <c r="R99" s="39"/>
      <c r="S99" s="39"/>
      <c r="T99" s="39"/>
      <c r="U99" s="106" t="str">
        <f>IF([2]回答表!F17="水道事業",IF([2]回答表!AD43="○",[2]回答表!B249,""),"")</f>
        <v/>
      </c>
      <c r="V99" s="107"/>
      <c r="W99" s="107"/>
      <c r="X99" s="107"/>
      <c r="Y99" s="107"/>
      <c r="Z99" s="107"/>
      <c r="AA99" s="107"/>
      <c r="AB99" s="107"/>
      <c r="AC99" s="107"/>
      <c r="AD99" s="107"/>
      <c r="AE99" s="107"/>
      <c r="AF99" s="107"/>
      <c r="AG99" s="107"/>
      <c r="AH99" s="107"/>
      <c r="AI99" s="107"/>
      <c r="AJ99" s="108"/>
      <c r="AK99" s="56"/>
      <c r="AL99" s="56"/>
      <c r="AM99" s="106" t="str">
        <f>IF([2]回答表!F17="水道事業",IF([2]回答表!AD43="○",[2]回答表!B255,""),"")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IF([2]回答表!F17="簡易水道事業",IF([2]回答表!X43="○","○",""),"")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IF([2]回答表!F17="簡易水道事業",IF([2]回答表!X43="○",[2]回答表!B154,IF([2]回答表!AA43="○",[2]回答表!B201,"")),"")</f>
        <v/>
      </c>
      <c r="AN111" s="107"/>
      <c r="AO111" s="107"/>
      <c r="AP111" s="107"/>
      <c r="AQ111" s="107"/>
      <c r="AR111" s="107"/>
      <c r="AS111" s="107"/>
      <c r="AT111" s="107"/>
      <c r="AU111" s="107"/>
      <c r="AV111" s="107"/>
      <c r="AW111" s="107"/>
      <c r="AX111" s="107"/>
      <c r="AY111" s="107"/>
      <c r="AZ111" s="107"/>
      <c r="BA111" s="107"/>
      <c r="BB111" s="108"/>
      <c r="BC111" s="40"/>
      <c r="BD111" s="35"/>
      <c r="BE111" s="115" t="str">
        <f>IF([2]回答表!F17="簡易水道事業",IF([2]回答表!X43="○",[2]回答表!B190,IF([2]回答表!AA43="○",[2]回答表!B238,"")),"")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IF([2]回答表!F17="簡易水道事業",IF([2]回答表!X43="○",[2]回答表!Y181,IF([2]回答表!AA43="○",[2]回答表!Y229,"")),"")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IF([2]回答表!F17="簡易水道事業",IF([2]回答表!X43="○",[2]回答表!E190,IF([2]回答表!AA43="○",[2]回答表!E238,"")),"")</f>
        <v/>
      </c>
      <c r="BF114" s="83"/>
      <c r="BG114" s="83"/>
      <c r="BH114" s="83"/>
      <c r="BI114" s="82" t="str">
        <f>IF([2]回答表!F17="簡易水道事業",IF([2]回答表!X43="○",[2]回答表!E191,IF([2]回答表!AA43="○",[2]回答表!E239,"")),"")</f>
        <v/>
      </c>
      <c r="BJ114" s="83"/>
      <c r="BK114" s="83"/>
      <c r="BL114" s="83"/>
      <c r="BM114" s="82" t="str">
        <f>IF([2]回答表!F17="簡易水道事業",IF([2]回答表!X43="○",[2]回答表!E192,IF([2]回答表!AA43="○",[2]回答表!E240,"")),"")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IF([2]回答表!F17="簡易水道事業",IF([2]回答表!AA43="○","○",""),"")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IF([2]回答表!F17="簡易水道事業",IF([2]回答表!X43="○",[2]回答表!Y182,IF([2]回答表!AA43="○",[2]回答表!Y230,"")),"")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IF([2]回答表!F17="簡易水道事業",IF([2]回答表!AD43="○","○",""),"")</f>
        <v/>
      </c>
      <c r="O123" s="98"/>
      <c r="P123" s="98"/>
      <c r="Q123" s="99"/>
      <c r="R123" s="39"/>
      <c r="S123" s="39"/>
      <c r="T123" s="39"/>
      <c r="U123" s="106" t="str">
        <f>IF([2]回答表!F17="簡易水道事業",IF([2]回答表!AD43="○",[2]回答表!B249,""),"")</f>
        <v/>
      </c>
      <c r="V123" s="107"/>
      <c r="W123" s="107"/>
      <c r="X123" s="107"/>
      <c r="Y123" s="107"/>
      <c r="Z123" s="107"/>
      <c r="AA123" s="107"/>
      <c r="AB123" s="107"/>
      <c r="AC123" s="107"/>
      <c r="AD123" s="107"/>
      <c r="AE123" s="107"/>
      <c r="AF123" s="107"/>
      <c r="AG123" s="107"/>
      <c r="AH123" s="107"/>
      <c r="AI123" s="107"/>
      <c r="AJ123" s="108"/>
      <c r="AK123" s="56"/>
      <c r="AL123" s="56"/>
      <c r="AM123" s="106" t="str">
        <f>IF([2]回答表!F17="簡易水道事業",IF([2]回答表!AD43="○",[2]回答表!B255,""),"")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IF([2]回答表!F17="下水道事業",IF([2]回答表!X43="○","○",""),"")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IF([2]回答表!F17="下水道事業",IF([2]回答表!X43="○",[2]回答表!B154,IF([2]回答表!AA43="○",[2]回答表!B201,"")),"")</f>
        <v/>
      </c>
      <c r="AN135" s="107"/>
      <c r="AO135" s="107"/>
      <c r="AP135" s="107"/>
      <c r="AQ135" s="107"/>
      <c r="AR135" s="107"/>
      <c r="AS135" s="107"/>
      <c r="AT135" s="107"/>
      <c r="AU135" s="107"/>
      <c r="AV135" s="107"/>
      <c r="AW135" s="107"/>
      <c r="AX135" s="107"/>
      <c r="AY135" s="107"/>
      <c r="AZ135" s="107"/>
      <c r="BA135" s="107"/>
      <c r="BB135" s="108"/>
      <c r="BC135" s="40"/>
      <c r="BD135" s="35"/>
      <c r="BE135" s="115" t="str">
        <f>IF([2]回答表!F17="下水道事業",IF([2]回答表!X43="○",[2]回答表!B190,IF([2]回答表!AA43="○",[2]回答表!B238,"")),"")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IF([2]回答表!F17="下水道事業",IF([2]回答表!X43="○",[2]回答表!Y184,IF([2]回答表!AA43="○",[2]回答表!Y232,"")),"")</f>
        <v/>
      </c>
      <c r="V137" s="119"/>
      <c r="W137" s="119"/>
      <c r="X137" s="119"/>
      <c r="Y137" s="119"/>
      <c r="Z137" s="119"/>
      <c r="AA137" s="119"/>
      <c r="AB137" s="120"/>
      <c r="AC137" s="118" t="str">
        <f>IF([2]回答表!F17="下水道事業",IF([2]回答表!X43="○",[2]回答表!Y185,IF([2]回答表!AA43="○",[2]回答表!Y233,"")),"")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IF([2]回答表!F17="下水道事業",IF([2]回答表!X43="○",[2]回答表!E190,IF([2]回答表!AA43="○",[2]回答表!E238,"")),"")</f>
        <v/>
      </c>
      <c r="BF138" s="83"/>
      <c r="BG138" s="83"/>
      <c r="BH138" s="83"/>
      <c r="BI138" s="82" t="str">
        <f>IF([2]回答表!F17="下水道事業",IF([2]回答表!X43="○",[2]回答表!E191,IF([2]回答表!AA43="○",[2]回答表!E239,"")),"")</f>
        <v/>
      </c>
      <c r="BJ138" s="83"/>
      <c r="BK138" s="83"/>
      <c r="BL138" s="83"/>
      <c r="BM138" s="82" t="str">
        <f>IF([2]回答表!F17="下水道事業",IF([2]回答表!X43="○",[2]回答表!E192,IF([2]回答表!AA43="○",[2]回答表!E240,"")),"")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IF([2]回答表!F17="下水道事業",IF([2]回答表!AA43="○","○",""),"")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IF([2]回答表!F17="下水道事業",IF([2]回答表!X43="○",[2]回答表!Y186,IF([2]回答表!AA43="○",[2]回答表!Y234,"")),"")</f>
        <v/>
      </c>
      <c r="V142" s="119"/>
      <c r="W142" s="119"/>
      <c r="X142" s="119"/>
      <c r="Y142" s="119"/>
      <c r="Z142" s="119"/>
      <c r="AA142" s="119"/>
      <c r="AB142" s="120"/>
      <c r="AC142" s="118" t="str">
        <f>IF([2]回答表!F17="下水道事業",IF([2]回答表!X43="○",[2]回答表!Y187,IF([2]回答表!AA43="○",[2]回答表!Y235,"")),"")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IF([2]回答表!F17="下水道事業",IF([2]回答表!AD43="○","○",""),"")</f>
        <v/>
      </c>
      <c r="O147" s="98"/>
      <c r="P147" s="98"/>
      <c r="Q147" s="99"/>
      <c r="R147" s="39"/>
      <c r="S147" s="39"/>
      <c r="T147" s="39"/>
      <c r="U147" s="106" t="str">
        <f>IF([2]回答表!F17="下水道事業",IF([2]回答表!AD43="○",[2]回答表!B249,""),"")</f>
        <v/>
      </c>
      <c r="V147" s="107"/>
      <c r="W147" s="107"/>
      <c r="X147" s="107"/>
      <c r="Y147" s="107"/>
      <c r="Z147" s="107"/>
      <c r="AA147" s="107"/>
      <c r="AB147" s="107"/>
      <c r="AC147" s="107"/>
      <c r="AD147" s="107"/>
      <c r="AE147" s="107"/>
      <c r="AF147" s="107"/>
      <c r="AG147" s="107"/>
      <c r="AH147" s="107"/>
      <c r="AI147" s="107"/>
      <c r="AJ147" s="108"/>
      <c r="AK147" s="56"/>
      <c r="AL147" s="56"/>
      <c r="AM147" s="106" t="str">
        <f>IF([2]回答表!F17="下水道事業",IF([2]回答表!AD43="○",[2]回答表!B255,""),"")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IF([2]回答表!BD17="○",IF([2]回答表!X43="○","○",""),"")</f>
        <v/>
      </c>
      <c r="O159" s="98"/>
      <c r="P159" s="98"/>
      <c r="Q159" s="99"/>
      <c r="R159" s="39"/>
      <c r="S159" s="39"/>
      <c r="T159" s="39"/>
      <c r="U159" s="106" t="str">
        <f>IF([2]回答表!BD17="○",IF([2]回答表!X43="○",[2]回答表!B154,IF([2]回答表!AA43="○",[2]回答表!B201,"")),"")</f>
        <v/>
      </c>
      <c r="V159" s="107"/>
      <c r="W159" s="107"/>
      <c r="X159" s="107"/>
      <c r="Y159" s="107"/>
      <c r="Z159" s="107"/>
      <c r="AA159" s="107"/>
      <c r="AB159" s="107"/>
      <c r="AC159" s="107"/>
      <c r="AD159" s="107"/>
      <c r="AE159" s="107"/>
      <c r="AF159" s="107"/>
      <c r="AG159" s="107"/>
      <c r="AH159" s="107"/>
      <c r="AI159" s="107"/>
      <c r="AJ159" s="108"/>
      <c r="AK159" s="50"/>
      <c r="AL159" s="50"/>
      <c r="AM159" s="115" t="str">
        <f>IF([2]回答表!BD17="○",IF([2]回答表!X43="○",[2]回答表!B190,IF([2]回答表!AA43="○",[2]回答表!B238,"")),"")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IF([2]回答表!BD17="○",IF([2]回答表!X43="○",[2]回答表!E190,IF([2]回答表!AA43="○",[2]回答表!E238,"")),"")</f>
        <v/>
      </c>
      <c r="AN162" s="83"/>
      <c r="AO162" s="83"/>
      <c r="AP162" s="83"/>
      <c r="AQ162" s="82" t="str">
        <f>IF([2]回答表!BD17="○",IF([2]回答表!X43="○",[2]回答表!E191,IF([2]回答表!AA43="○",[2]回答表!E239,"")),"")</f>
        <v/>
      </c>
      <c r="AR162" s="83"/>
      <c r="AS162" s="83"/>
      <c r="AT162" s="83"/>
      <c r="AU162" s="82" t="str">
        <f>IF([2]回答表!BD17="○",IF([2]回答表!X43="○",[2]回答表!E192,IF([2]回答表!AA43="○",[2]回答表!E240,"")),"")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IF([2]回答表!BD17="○",IF([2]回答表!AA43="○","○",""),"")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IF([2]回答表!BD17="○",IF([2]回答表!AD43="○","○",""),"")</f>
        <v/>
      </c>
      <c r="O171" s="98"/>
      <c r="P171" s="98"/>
      <c r="Q171" s="99"/>
      <c r="R171" s="39"/>
      <c r="S171" s="39"/>
      <c r="T171" s="39"/>
      <c r="U171" s="106" t="str">
        <f>IF([2]回答表!BD17="○",IF([2]回答表!AD43="○",[2]回答表!B249,""),"")</f>
        <v/>
      </c>
      <c r="V171" s="107"/>
      <c r="W171" s="107"/>
      <c r="X171" s="107"/>
      <c r="Y171" s="107"/>
      <c r="Z171" s="107"/>
      <c r="AA171" s="107"/>
      <c r="AB171" s="107"/>
      <c r="AC171" s="107"/>
      <c r="AD171" s="107"/>
      <c r="AE171" s="107"/>
      <c r="AF171" s="107"/>
      <c r="AG171" s="107"/>
      <c r="AH171" s="107"/>
      <c r="AI171" s="107"/>
      <c r="AJ171" s="108"/>
      <c r="AK171" s="56"/>
      <c r="AL171" s="56"/>
      <c r="AM171" s="106" t="str">
        <f>IF([2]回答表!BD17="○",IF([2]回答表!AD43="○",[2]回答表!B255,""),"")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IF([2]回答表!X44="○","○","")</f>
        <v/>
      </c>
      <c r="O183" s="98"/>
      <c r="P183" s="98"/>
      <c r="Q183" s="99"/>
      <c r="R183" s="39"/>
      <c r="S183" s="39"/>
      <c r="T183" s="39"/>
      <c r="U183" s="106" t="str">
        <f>IF([2]回答表!X44="○",[2]回答表!B266,IF([2]回答表!AA44="○",[2]回答表!B283,""))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IF([2]回答表!X44="○",[2]回答表!U272,IF([2]回答表!AA44="○",[2]回答表!U289,""))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IF([2]回答表!X44="○",[2]回答表!G272,IF([2]回答表!AA44="○",[2]回答表!G289,""))</f>
        <v/>
      </c>
      <c r="AN186" s="119"/>
      <c r="AO186" s="119"/>
      <c r="AP186" s="119"/>
      <c r="AQ186" s="119"/>
      <c r="AR186" s="119"/>
      <c r="AS186" s="119"/>
      <c r="AT186" s="120"/>
      <c r="AU186" s="118" t="str">
        <f>IF([2]回答表!X44="○",[2]回答表!G273,IF([2]回答表!AA44="○",[2]回答表!G290,""))</f>
        <v/>
      </c>
      <c r="AV186" s="119"/>
      <c r="AW186" s="119"/>
      <c r="AX186" s="119"/>
      <c r="AY186" s="119"/>
      <c r="AZ186" s="119"/>
      <c r="BA186" s="119"/>
      <c r="BB186" s="120"/>
      <c r="BC186" s="40"/>
      <c r="BD186" s="35"/>
      <c r="BE186" s="82" t="str">
        <f>IF([2]回答表!X44="○",[2]回答表!X272,IF([2]回答表!AA44="○",[2]回答表!X289,""))</f>
        <v/>
      </c>
      <c r="BF186" s="83"/>
      <c r="BG186" s="83"/>
      <c r="BH186" s="83"/>
      <c r="BI186" s="82" t="str">
        <f>IF([2]回答表!X44="○",[2]回答表!X273,IF([2]回答表!AA44="○",[2]回答表!X290,""))</f>
        <v/>
      </c>
      <c r="BJ186" s="83"/>
      <c r="BK186" s="83"/>
      <c r="BL186" s="86"/>
      <c r="BM186" s="82" t="str">
        <f>IF([2]回答表!X44="○",[2]回答表!X274,IF([2]回答表!AA44="○",[2]回答表!X291,""))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IF([2]回答表!AA44="○","○","")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IF([2]回答表!AD44="○","○","")</f>
        <v/>
      </c>
      <c r="O195" s="98"/>
      <c r="P195" s="98"/>
      <c r="Q195" s="99"/>
      <c r="R195" s="39"/>
      <c r="S195" s="39"/>
      <c r="T195" s="39"/>
      <c r="U195" s="106" t="str">
        <f>IF([2]回答表!AD44="○",[2]回答表!B296,"")</f>
        <v/>
      </c>
      <c r="V195" s="107"/>
      <c r="W195" s="107"/>
      <c r="X195" s="107"/>
      <c r="Y195" s="107"/>
      <c r="Z195" s="107"/>
      <c r="AA195" s="107"/>
      <c r="AB195" s="107"/>
      <c r="AC195" s="107"/>
      <c r="AD195" s="107"/>
      <c r="AE195" s="107"/>
      <c r="AF195" s="107"/>
      <c r="AG195" s="107"/>
      <c r="AH195" s="107"/>
      <c r="AI195" s="107"/>
      <c r="AJ195" s="108"/>
      <c r="AK195" s="61"/>
      <c r="AL195" s="61"/>
      <c r="AM195" s="106" t="str">
        <f>IF([2]回答表!AD44="○",[2]回答表!B302,"")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IF([2]回答表!X45="○","○","")</f>
        <v>○</v>
      </c>
      <c r="O207" s="98"/>
      <c r="P207" s="98"/>
      <c r="Q207" s="99"/>
      <c r="R207" s="39"/>
      <c r="S207" s="39"/>
      <c r="T207" s="39"/>
      <c r="U207" s="106" t="str">
        <f>IF([2]回答表!X45="○",[2]回答表!B314,IF([2]回答表!AA45="○",[2]回答表!B337,""))</f>
        <v>上下水道料金等関連業務について、事業提案型プロポーザル方式により委託者を選定し、委託契約を締結した。（期間５年）</v>
      </c>
      <c r="V207" s="107"/>
      <c r="W207" s="107"/>
      <c r="X207" s="107"/>
      <c r="Y207" s="107"/>
      <c r="Z207" s="107"/>
      <c r="AA207" s="107"/>
      <c r="AB207" s="107"/>
      <c r="AC207" s="107"/>
      <c r="AD207" s="107"/>
      <c r="AE207" s="107"/>
      <c r="AF207" s="107"/>
      <c r="AG207" s="107"/>
      <c r="AH207" s="107"/>
      <c r="AI207" s="107"/>
      <c r="AJ207" s="108"/>
      <c r="AK207" s="50"/>
      <c r="AL207" s="50"/>
      <c r="AM207" s="50"/>
      <c r="AN207" s="106" t="str">
        <f>IF([2]回答表!X45="○",[2]回答表!B320,"")</f>
        <v>窓口業務、検針調定業務、収納業務、還付業務、滞納整理業務、電算処理業務（料金システムを含む）、メーター交換業務、その他付帯業務　</v>
      </c>
      <c r="AO207" s="164"/>
      <c r="AP207" s="164"/>
      <c r="AQ207" s="164"/>
      <c r="AR207" s="164"/>
      <c r="AS207" s="164"/>
      <c r="AT207" s="164"/>
      <c r="AU207" s="164"/>
      <c r="AV207" s="164"/>
      <c r="AW207" s="164"/>
      <c r="AX207" s="164"/>
      <c r="AY207" s="164"/>
      <c r="AZ207" s="164"/>
      <c r="BA207" s="164"/>
      <c r="BB207" s="165"/>
      <c r="BC207" s="40"/>
      <c r="BD207" s="35"/>
      <c r="BE207" s="115" t="str">
        <f>IF([2]回答表!X45="○",[2]回答表!B326,IF([2]回答表!AA45="○",[2]回答表!B343,""))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f>IF([2]回答表!X45="○",[2]回答表!E326,IF([2]回答表!AA45="○",[2]回答表!E343,""))</f>
        <v>22</v>
      </c>
      <c r="BF210" s="83"/>
      <c r="BG210" s="83"/>
      <c r="BH210" s="83"/>
      <c r="BI210" s="82">
        <f>IF([2]回答表!X45="○",[2]回答表!E327,IF([2]回答表!AA45="○",[2]回答表!E344,""))</f>
        <v>11</v>
      </c>
      <c r="BJ210" s="83"/>
      <c r="BK210" s="83"/>
      <c r="BL210" s="86"/>
      <c r="BM210" s="82">
        <f>IF([2]回答表!X45="○",[2]回答表!E328,IF([2]回答表!AA45="○",[2]回答表!E345,""))</f>
        <v>30</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IF([2]回答表!AA45="○","○","")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IF([2]回答表!AD45="○","○","")</f>
        <v/>
      </c>
      <c r="O219" s="98"/>
      <c r="P219" s="98"/>
      <c r="Q219" s="99"/>
      <c r="R219" s="39"/>
      <c r="S219" s="39"/>
      <c r="T219" s="39"/>
      <c r="U219" s="106" t="str">
        <f>IF([2]回答表!AD45="○",[2]回答表!B350,"")</f>
        <v/>
      </c>
      <c r="V219" s="107"/>
      <c r="W219" s="107"/>
      <c r="X219" s="107"/>
      <c r="Y219" s="107"/>
      <c r="Z219" s="107"/>
      <c r="AA219" s="107"/>
      <c r="AB219" s="107"/>
      <c r="AC219" s="107"/>
      <c r="AD219" s="107"/>
      <c r="AE219" s="107"/>
      <c r="AF219" s="107"/>
      <c r="AG219" s="107"/>
      <c r="AH219" s="107"/>
      <c r="AI219" s="107"/>
      <c r="AJ219" s="108"/>
      <c r="AK219" s="61"/>
      <c r="AL219" s="61"/>
      <c r="AM219" s="106" t="str">
        <f>IF([2]回答表!AD45="○",[2]回答表!B356,"")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IF([2]回答表!X46="○","○","")</f>
        <v/>
      </c>
      <c r="O231" s="98"/>
      <c r="P231" s="98"/>
      <c r="Q231" s="99"/>
      <c r="R231" s="39"/>
      <c r="S231" s="39"/>
      <c r="T231" s="39"/>
      <c r="U231" s="106" t="str">
        <f>IF([2]回答表!X46="○",[2]回答表!B368,IF([2]回答表!AA46="○",[2]回答表!B382,""))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IF([2]回答表!X46="○",[2]回答表!BC375,IF([2]回答表!AA46="○",[2]回答表!BC389,""))</f>
        <v/>
      </c>
      <c r="AR231" s="150"/>
      <c r="AS231" s="150"/>
      <c r="AT231" s="150"/>
      <c r="AU231" s="155" t="s">
        <v>63</v>
      </c>
      <c r="AV231" s="156"/>
      <c r="AW231" s="156"/>
      <c r="AX231" s="157"/>
      <c r="AY231" s="150" t="str">
        <f>IF([2]回答表!X46="○",[2]回答表!BC380,IF([2]回答表!AA46="○",[2]回答表!BC394,""))</f>
        <v/>
      </c>
      <c r="AZ231" s="150"/>
      <c r="BA231" s="150"/>
      <c r="BB231" s="150"/>
      <c r="BC231" s="40"/>
      <c r="BD231" s="35"/>
      <c r="BE231" s="115" t="str">
        <f>IF([2]回答表!X46="○",[2]回答表!S374,IF([2]回答表!AA46="○",[2]回答表!S388,""))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IF([2]回答表!X46="○",[2]回答表!BC376,IF([2]回答表!AA46="○",[2]回答表!BC390,""))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IF([2]回答表!X46="○",[2]回答表!V374,IF([2]回答表!AA46="○",[2]回答表!V388,""))</f>
        <v/>
      </c>
      <c r="BF234" s="83"/>
      <c r="BG234" s="83"/>
      <c r="BH234" s="83"/>
      <c r="BI234" s="82" t="str">
        <f>IF([2]回答表!X46="○",[2]回答表!V375,IF([2]回答表!AA46="○",[2]回答表!V389,""))</f>
        <v/>
      </c>
      <c r="BJ234" s="83"/>
      <c r="BK234" s="83"/>
      <c r="BL234" s="86"/>
      <c r="BM234" s="82" t="str">
        <f>IF([2]回答表!X46="○",[2]回答表!V376,IF([2]回答表!AA46="○",[2]回答表!V390,""))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IF([2]回答表!X46="○",[2]回答表!BC377,IF([2]回答表!AA46="○",[2]回答表!BC391,""))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IF([2]回答表!X46="○",[2]回答表!BC381,IF([2]回答表!AA46="○",[2]回答表!BC395,""))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IF([2]回答表!AA46="○","○","")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IF([2]回答表!X46="○",[2]回答表!BC378,IF([2]回答表!AA46="○",[2]回答表!BC392,""))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IF([2]回答表!X46="○",[2]回答表!BC379,IF([2]回答表!AA46="○",[2]回答表!BC393,""))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IF([2]回答表!AD46="○","○","")</f>
        <v/>
      </c>
      <c r="O243" s="98"/>
      <c r="P243" s="98"/>
      <c r="Q243" s="99"/>
      <c r="R243" s="39"/>
      <c r="S243" s="39"/>
      <c r="T243" s="39"/>
      <c r="U243" s="106" t="str">
        <f>IF([2]回答表!AD46="○",[2]回答表!B396,"")</f>
        <v/>
      </c>
      <c r="V243" s="107"/>
      <c r="W243" s="107"/>
      <c r="X243" s="107"/>
      <c r="Y243" s="107"/>
      <c r="Z243" s="107"/>
      <c r="AA243" s="107"/>
      <c r="AB243" s="107"/>
      <c r="AC243" s="107"/>
      <c r="AD243" s="107"/>
      <c r="AE243" s="107"/>
      <c r="AF243" s="107"/>
      <c r="AG243" s="107"/>
      <c r="AH243" s="107"/>
      <c r="AI243" s="107"/>
      <c r="AJ243" s="108"/>
      <c r="AK243" s="56"/>
      <c r="AL243" s="56"/>
      <c r="AM243" s="106" t="str">
        <f>IF([2]回答表!AD46="○",[2]回答表!B402,"")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IF([2]回答表!X47="○","○","")</f>
        <v/>
      </c>
      <c r="O254" s="98"/>
      <c r="P254" s="98"/>
      <c r="Q254" s="99"/>
      <c r="R254" s="39"/>
      <c r="S254" s="39"/>
      <c r="T254" s="39"/>
      <c r="U254" s="106" t="str">
        <f>IF([2]回答表!X47="○",[2]回答表!B414,IF([2]回答表!AA47="○",[2]回答表!B431,""))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IF([2]回答表!X47="○",[2]回答表!B424,IF([2]回答表!AA47="○",[2]回答表!B441,""))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IF([2]回答表!X47="○",[2]回答表!G420,IF([2]回答表!AA47="○",[2]回答表!G437,""))</f>
        <v/>
      </c>
      <c r="AN256" s="119"/>
      <c r="AO256" s="119"/>
      <c r="AP256" s="119"/>
      <c r="AQ256" s="119"/>
      <c r="AR256" s="119"/>
      <c r="AS256" s="119"/>
      <c r="AT256" s="120"/>
      <c r="AU256" s="118" t="str">
        <f>IF([2]回答表!X47="○",[2]回答表!G421,IF([2]回答表!AA47="○",[2]回答表!G438,""))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IF([2]回答表!X47="○",[2]回答表!E424,IF([2]回答表!AA47="○",[2]回答表!E441,""))</f>
        <v/>
      </c>
      <c r="BF257" s="83"/>
      <c r="BG257" s="83"/>
      <c r="BH257" s="83"/>
      <c r="BI257" s="82" t="str">
        <f>IF([2]回答表!X47="○",[2]回答表!E425,IF([2]回答表!AA47="○",[2]回答表!E442,""))</f>
        <v/>
      </c>
      <c r="BJ257" s="83"/>
      <c r="BK257" s="83"/>
      <c r="BL257" s="86"/>
      <c r="BM257" s="82" t="str">
        <f>IF([2]回答表!X47="○",[2]回答表!E426,IF([2]回答表!AA47="○",[2]回答表!E443,""))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IF([2]回答表!AA47="○","○","")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IF([2]回答表!AD47="○","○","")</f>
        <v/>
      </c>
      <c r="O266" s="98"/>
      <c r="P266" s="98"/>
      <c r="Q266" s="99"/>
      <c r="R266" s="39"/>
      <c r="S266" s="39"/>
      <c r="T266" s="39"/>
      <c r="U266" s="106" t="str">
        <f>IF([2]回答表!AD47="○",[2]回答表!B448,"")</f>
        <v/>
      </c>
      <c r="V266" s="107"/>
      <c r="W266" s="107"/>
      <c r="X266" s="107"/>
      <c r="Y266" s="107"/>
      <c r="Z266" s="107"/>
      <c r="AA266" s="107"/>
      <c r="AB266" s="107"/>
      <c r="AC266" s="107"/>
      <c r="AD266" s="107"/>
      <c r="AE266" s="107"/>
      <c r="AF266" s="107"/>
      <c r="AG266" s="107"/>
      <c r="AH266" s="107"/>
      <c r="AI266" s="107"/>
      <c r="AJ266" s="108"/>
      <c r="AK266" s="50"/>
      <c r="AL266" s="50"/>
      <c r="AM266" s="106" t="str">
        <f>IF([2]回答表!AD47="○",[2]回答表!B454,"")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IF([2]回答表!R48="○",[2]回答表!B467,"")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D8E7-C2A1-4068-9BC0-01ACF59C8A23}">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6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IF(COUNTIF([3]回答表!K15,"*")&gt;0,[3]回答表!K15,"")</f>
        <v>横手市</v>
      </c>
      <c r="D11" s="246"/>
      <c r="E11" s="246"/>
      <c r="F11" s="246"/>
      <c r="G11" s="246"/>
      <c r="H11" s="246"/>
      <c r="I11" s="246"/>
      <c r="J11" s="246"/>
      <c r="K11" s="246"/>
      <c r="L11" s="246"/>
      <c r="M11" s="246"/>
      <c r="N11" s="246"/>
      <c r="O11" s="246"/>
      <c r="P11" s="246"/>
      <c r="Q11" s="246"/>
      <c r="R11" s="246"/>
      <c r="S11" s="246"/>
      <c r="T11" s="246"/>
      <c r="U11" s="253" t="str">
        <f>IF(COUNTIF([3]回答表!F17,"*")&gt;0,[3]回答表!F17,"")</f>
        <v>下水道事業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IF(COUNTIF([3]回答表!W17,"*")&gt;0,[3]回答表!W17,"")</f>
        <v>特定地域排水処理施設</v>
      </c>
      <c r="AP11" s="248"/>
      <c r="AQ11" s="248"/>
      <c r="AR11" s="248"/>
      <c r="AS11" s="248"/>
      <c r="AT11" s="248"/>
      <c r="AU11" s="248"/>
      <c r="AV11" s="248"/>
      <c r="AW11" s="248"/>
      <c r="AX11" s="248"/>
      <c r="AY11" s="248"/>
      <c r="AZ11" s="248"/>
      <c r="BA11" s="248"/>
      <c r="BB11" s="248"/>
      <c r="BC11" s="248"/>
      <c r="BD11" s="248"/>
      <c r="BE11" s="249"/>
      <c r="BF11" s="252" t="str">
        <f>IF(COUNTIF([3]回答表!F19,"*")&gt;0,[3]回答表!F19,"")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IF([3]回答表!R41="○","○","")</f>
        <v>○</v>
      </c>
      <c r="E24" s="122"/>
      <c r="F24" s="122"/>
      <c r="G24" s="122"/>
      <c r="H24" s="122"/>
      <c r="I24" s="122"/>
      <c r="J24" s="123"/>
      <c r="K24" s="121" t="str">
        <f>IF([3]回答表!R42="○","○","")</f>
        <v/>
      </c>
      <c r="L24" s="122"/>
      <c r="M24" s="122"/>
      <c r="N24" s="122"/>
      <c r="O24" s="122"/>
      <c r="P24" s="122"/>
      <c r="Q24" s="123"/>
      <c r="R24" s="121" t="str">
        <f>IF([3]回答表!R43="○","○","")</f>
        <v/>
      </c>
      <c r="S24" s="122"/>
      <c r="T24" s="122"/>
      <c r="U24" s="122"/>
      <c r="V24" s="122"/>
      <c r="W24" s="122"/>
      <c r="X24" s="123"/>
      <c r="Y24" s="121" t="str">
        <f>IF([3]回答表!R44="○","○","")</f>
        <v/>
      </c>
      <c r="Z24" s="122"/>
      <c r="AA24" s="122"/>
      <c r="AB24" s="122"/>
      <c r="AC24" s="122"/>
      <c r="AD24" s="122"/>
      <c r="AE24" s="123"/>
      <c r="AF24" s="121" t="str">
        <f>IF([3]回答表!R45="○","○","")</f>
        <v>○</v>
      </c>
      <c r="AG24" s="122"/>
      <c r="AH24" s="122"/>
      <c r="AI24" s="122"/>
      <c r="AJ24" s="122"/>
      <c r="AK24" s="122"/>
      <c r="AL24" s="123"/>
      <c r="AM24" s="121" t="str">
        <f>IF([3]回答表!R46="○","○","")</f>
        <v/>
      </c>
      <c r="AN24" s="122"/>
      <c r="AO24" s="122"/>
      <c r="AP24" s="122"/>
      <c r="AQ24" s="122"/>
      <c r="AR24" s="122"/>
      <c r="AS24" s="123"/>
      <c r="AT24" s="121" t="str">
        <f>IF([3]回答表!R47="○","○","")</f>
        <v/>
      </c>
      <c r="AU24" s="122"/>
      <c r="AV24" s="122"/>
      <c r="AW24" s="122"/>
      <c r="AX24" s="122"/>
      <c r="AY24" s="122"/>
      <c r="AZ24" s="123"/>
      <c r="BA24" s="19"/>
      <c r="BB24" s="118" t="str">
        <f>IF([3]回答表!R48="○","○","")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IF([3]回答表!X41="○","○","")</f>
        <v/>
      </c>
      <c r="O36" s="98"/>
      <c r="P36" s="98"/>
      <c r="Q36" s="99"/>
      <c r="R36" s="39"/>
      <c r="S36" s="39"/>
      <c r="T36" s="39"/>
      <c r="U36" s="106" t="str">
        <f>IF([3]回答表!X41="○",[3]回答表!B56,IF([3]回答表!AA41="○",[3]回答表!B76,""))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IF([3]回答表!X41="○",[3]回答表!S62,IF([3]回答表!AA41="○",[3]回答表!S82,""))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IF([3]回答表!X41="○",[3]回答表!G62,IF([3]回答表!AA41="○",[3]回答表!G82,""))</f>
        <v/>
      </c>
      <c r="AN38" s="119"/>
      <c r="AO38" s="119"/>
      <c r="AP38" s="119"/>
      <c r="AQ38" s="119"/>
      <c r="AR38" s="119"/>
      <c r="AS38" s="119"/>
      <c r="AT38" s="120"/>
      <c r="AU38" s="118" t="str">
        <f>IF([3]回答表!X41="○",[3]回答表!G63,IF([3]回答表!AA41="○",[3]回答表!G83,""))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IF([3]回答表!X41="○",[3]回答表!V62,IF([3]回答表!AA41="○",[3]回答表!V82,""))</f>
        <v/>
      </c>
      <c r="BF39" s="199"/>
      <c r="BG39" s="199"/>
      <c r="BH39" s="200"/>
      <c r="BI39" s="82" t="str">
        <f>IF([3]回答表!X41="○",[3]回答表!V63,IF([3]回答表!AA41="○",[3]回答表!V83,""))</f>
        <v/>
      </c>
      <c r="BJ39" s="199"/>
      <c r="BK39" s="199"/>
      <c r="BL39" s="200"/>
      <c r="BM39" s="82" t="str">
        <f>IF([3]回答表!X41="○",[3]回答表!V64,IF([3]回答表!AA41="○",[3]回答表!V84,""))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IF([3]回答表!X41="○",[3]回答表!O68,IF([3]回答表!AA41="○",[3]回答表!O88,""))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IF([3]回答表!X41="○",[3]回答表!O69,IF([3]回答表!AA41="○",[3]回答表!O89,""))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IF([3]回答表!AA41="○","○","")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IF([3]回答表!X41="○",[3]回答表!O70,IF([3]回答表!AA41="○",[3]回答表!O90,""))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IF([3]回答表!X41="○",[3]回答表!O71,IF([3]回答表!AA41="○",[3]回答表!O91,""))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IF([3]回答表!X41="○",[3]回答表!AG68,IF([3]回答表!AA41="○",[3]回答表!AG88,""))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IF([3]回答表!X41="○",[3]回答表!AG69,IF([3]回答表!AA41="○",[3]回答表!AG89,""))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IF([3]回答表!X41="○",[3]回答表!AG70,IF([3]回答表!AA41="○",[3]回答表!AG90,""))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IF([3]回答表!AD41="○","○","")</f>
        <v>○</v>
      </c>
      <c r="O52" s="98"/>
      <c r="P52" s="98"/>
      <c r="Q52" s="99"/>
      <c r="R52" s="39"/>
      <c r="S52" s="39"/>
      <c r="T52" s="39"/>
      <c r="U52" s="106" t="str">
        <f>IF([3]回答表!AD41="○",[3]回答表!B96,"")</f>
        <v>設置後15年を経過した浄化槽を個人に譲与する。</v>
      </c>
      <c r="V52" s="107"/>
      <c r="W52" s="107"/>
      <c r="X52" s="107"/>
      <c r="Y52" s="107"/>
      <c r="Z52" s="107"/>
      <c r="AA52" s="107"/>
      <c r="AB52" s="107"/>
      <c r="AC52" s="107"/>
      <c r="AD52" s="107"/>
      <c r="AE52" s="107"/>
      <c r="AF52" s="107"/>
      <c r="AG52" s="107"/>
      <c r="AH52" s="107"/>
      <c r="AI52" s="107"/>
      <c r="AJ52" s="108"/>
      <c r="AK52" s="56"/>
      <c r="AL52" s="56"/>
      <c r="AM52" s="260" t="str">
        <f>IF([3]回答表!AD41="○",[3]回答表!B101,"")</f>
        <v>意向確認のアンケート調査を行っているが、譲与を希望せず市での管理（事業継続）を希望している利用者が相当数いる。譲与後の適正な維持管理をどのように担保するか、譲与による使用料収入の減少が収支へ及ぼす影響をどうするか、といったことが課題となっている。</v>
      </c>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263"/>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5"/>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266"/>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8"/>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IF([3]回答表!X42="○","○","")</f>
        <v/>
      </c>
      <c r="O63" s="98"/>
      <c r="P63" s="98"/>
      <c r="Q63" s="99"/>
      <c r="R63" s="39"/>
      <c r="S63" s="39"/>
      <c r="T63" s="39"/>
      <c r="U63" s="106" t="str">
        <f>IF([3]回答表!X42="○",[3]回答表!B111,IF([3]回答表!AA42="○",[3]回答表!B124,""))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IF([3]回答表!X42="○",[3]回答表!S117,IF([3]回答表!AA42="○",[3]回答表!S130,""))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IF([3]回答表!X42="○",[3]回答表!J117,IF([3]回答表!AA42="○",[3]回答表!J130,""))</f>
        <v/>
      </c>
      <c r="AN66" s="119"/>
      <c r="AO66" s="119"/>
      <c r="AP66" s="119"/>
      <c r="AQ66" s="119"/>
      <c r="AR66" s="119"/>
      <c r="AS66" s="119"/>
      <c r="AT66" s="120"/>
      <c r="AU66" s="118" t="str">
        <f>IF([3]回答表!X42="○",[3]回答表!J118,IF([3]回答表!AA42="○",[3]回答表!J131,""))</f>
        <v/>
      </c>
      <c r="AV66" s="119"/>
      <c r="AW66" s="119"/>
      <c r="AX66" s="119"/>
      <c r="AY66" s="119"/>
      <c r="AZ66" s="119"/>
      <c r="BA66" s="119"/>
      <c r="BB66" s="120"/>
      <c r="BC66" s="40"/>
      <c r="BD66" s="35"/>
      <c r="BE66" s="82" t="str">
        <f>IF([3]回答表!X42="○",[3]回答表!V117,IF([3]回答表!AA42="○",[3]回答表!V130,""))</f>
        <v/>
      </c>
      <c r="BF66" s="83"/>
      <c r="BG66" s="83"/>
      <c r="BH66" s="83"/>
      <c r="BI66" s="82" t="str">
        <f>IF([3]回答表!X42="○",[3]回答表!V118,IF([3]回答表!AA42="○",[3]回答表!V131,""))</f>
        <v/>
      </c>
      <c r="BJ66" s="83"/>
      <c r="BK66" s="83"/>
      <c r="BL66" s="83"/>
      <c r="BM66" s="82" t="str">
        <f>IF([3]回答表!X42="○",[3]回答表!V119,IF([3]回答表!AA42="○",[3]回答表!V132,""))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IF([3]回答表!AA42="○","○","")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IF([3]回答表!AD42="○","○","")</f>
        <v/>
      </c>
      <c r="O75" s="98"/>
      <c r="P75" s="98"/>
      <c r="Q75" s="99"/>
      <c r="R75" s="39"/>
      <c r="S75" s="39"/>
      <c r="T75" s="39"/>
      <c r="U75" s="106" t="str">
        <f>IF([3]回答表!AD42="○",[3]回答表!B137,"")</f>
        <v/>
      </c>
      <c r="V75" s="107"/>
      <c r="W75" s="107"/>
      <c r="X75" s="107"/>
      <c r="Y75" s="107"/>
      <c r="Z75" s="107"/>
      <c r="AA75" s="107"/>
      <c r="AB75" s="107"/>
      <c r="AC75" s="107"/>
      <c r="AD75" s="107"/>
      <c r="AE75" s="107"/>
      <c r="AF75" s="107"/>
      <c r="AG75" s="107"/>
      <c r="AH75" s="107"/>
      <c r="AI75" s="107"/>
      <c r="AJ75" s="108"/>
      <c r="AK75" s="56"/>
      <c r="AL75" s="56"/>
      <c r="AM75" s="106" t="str">
        <f>IF([3]回答表!AD42="○",[3]回答表!B143,"")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IF([3]回答表!F17="水道事業",IF([3]回答表!X43="○","○",""),"")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IF([3]回答表!F17="水道事業",IF([3]回答表!X43="○",[3]回答表!B154,IF([3]回答表!AA43="○",[3]回答表!B201,"")),"")</f>
        <v/>
      </c>
      <c r="AN87" s="107"/>
      <c r="AO87" s="107"/>
      <c r="AP87" s="107"/>
      <c r="AQ87" s="107"/>
      <c r="AR87" s="107"/>
      <c r="AS87" s="107"/>
      <c r="AT87" s="107"/>
      <c r="AU87" s="107"/>
      <c r="AV87" s="107"/>
      <c r="AW87" s="107"/>
      <c r="AX87" s="107"/>
      <c r="AY87" s="107"/>
      <c r="AZ87" s="107"/>
      <c r="BA87" s="107"/>
      <c r="BB87" s="108"/>
      <c r="BC87" s="40"/>
      <c r="BD87" s="35"/>
      <c r="BE87" s="115" t="str">
        <f>IF([3]回答表!F17="水道事業",IF([3]回答表!X43="○",[3]回答表!B190,IF([3]回答表!AA43="○",[3]回答表!B238,"")),"")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IF([3]回答表!F17="水道事業",IF([3]回答表!X43="○",[3]回答表!J162,IF([3]回答表!AA43="○",[3]回答表!J209,"")),"")</f>
        <v/>
      </c>
      <c r="V89" s="119"/>
      <c r="W89" s="119"/>
      <c r="X89" s="119"/>
      <c r="Y89" s="119"/>
      <c r="Z89" s="119"/>
      <c r="AA89" s="119"/>
      <c r="AB89" s="120"/>
      <c r="AC89" s="118" t="str">
        <f>IF([3]回答表!F17="水道事業",IF([3]回答表!X43="○",[3]回答表!J169,IF([3]回答表!AA43="○",[3]回答表!J216,"")),"")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IF([3]回答表!F17="水道事業",IF([3]回答表!X43="○",[3]回答表!E190,IF([3]回答表!AA43="○",[3]回答表!E238,"")),"")</f>
        <v/>
      </c>
      <c r="BF90" s="83"/>
      <c r="BG90" s="83"/>
      <c r="BH90" s="83"/>
      <c r="BI90" s="82" t="str">
        <f>IF([3]回答表!F17="水道事業",IF([3]回答表!X43="○",[3]回答表!E191,IF([3]回答表!AA43="○",[3]回答表!E239,"")),"")</f>
        <v/>
      </c>
      <c r="BJ90" s="83"/>
      <c r="BK90" s="83"/>
      <c r="BL90" s="83"/>
      <c r="BM90" s="82" t="str">
        <f>IF([3]回答表!F17="水道事業",IF([3]回答表!X43="○",[3]回答表!E192,IF([3]回答表!AA43="○",[3]回答表!E240,"")),"")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IF([3]回答表!F17="水道事業",IF([3]回答表!AA43="○","○",""),"")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IF([3]回答表!F17="水道事業",IF([3]回答表!X43="○",[3]回答表!J172,IF([3]回答表!AA43="○",[3]回答表!J219,"")),"")</f>
        <v/>
      </c>
      <c r="V94" s="119"/>
      <c r="W94" s="119"/>
      <c r="X94" s="119"/>
      <c r="Y94" s="119"/>
      <c r="Z94" s="119"/>
      <c r="AA94" s="119"/>
      <c r="AB94" s="120"/>
      <c r="AC94" s="118" t="str">
        <f>IF([3]回答表!F17="水道事業",IF([3]回答表!X43="○",[3]回答表!J176,IF([3]回答表!AA43="○",[3]回答表!J223,"")),"")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IF([3]回答表!F17="水道事業",IF([3]回答表!AD43="○","○",""),"")</f>
        <v/>
      </c>
      <c r="O99" s="98"/>
      <c r="P99" s="98"/>
      <c r="Q99" s="99"/>
      <c r="R99" s="39"/>
      <c r="S99" s="39"/>
      <c r="T99" s="39"/>
      <c r="U99" s="106" t="str">
        <f>IF([3]回答表!F17="水道事業",IF([3]回答表!AD43="○",[3]回答表!B249,""),"")</f>
        <v/>
      </c>
      <c r="V99" s="107"/>
      <c r="W99" s="107"/>
      <c r="X99" s="107"/>
      <c r="Y99" s="107"/>
      <c r="Z99" s="107"/>
      <c r="AA99" s="107"/>
      <c r="AB99" s="107"/>
      <c r="AC99" s="107"/>
      <c r="AD99" s="107"/>
      <c r="AE99" s="107"/>
      <c r="AF99" s="107"/>
      <c r="AG99" s="107"/>
      <c r="AH99" s="107"/>
      <c r="AI99" s="107"/>
      <c r="AJ99" s="108"/>
      <c r="AK99" s="56"/>
      <c r="AL99" s="56"/>
      <c r="AM99" s="106" t="str">
        <f>IF([3]回答表!F17="水道事業",IF([3]回答表!AD43="○",[3]回答表!B255,""),"")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IF([3]回答表!F17="簡易水道事業",IF([3]回答表!X43="○","○",""),"")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IF([3]回答表!F17="簡易水道事業",IF([3]回答表!X43="○",[3]回答表!B154,IF([3]回答表!AA43="○",[3]回答表!B201,"")),"")</f>
        <v/>
      </c>
      <c r="AN111" s="107"/>
      <c r="AO111" s="107"/>
      <c r="AP111" s="107"/>
      <c r="AQ111" s="107"/>
      <c r="AR111" s="107"/>
      <c r="AS111" s="107"/>
      <c r="AT111" s="107"/>
      <c r="AU111" s="107"/>
      <c r="AV111" s="107"/>
      <c r="AW111" s="107"/>
      <c r="AX111" s="107"/>
      <c r="AY111" s="107"/>
      <c r="AZ111" s="107"/>
      <c r="BA111" s="107"/>
      <c r="BB111" s="108"/>
      <c r="BC111" s="40"/>
      <c r="BD111" s="35"/>
      <c r="BE111" s="115" t="str">
        <f>IF([3]回答表!F17="簡易水道事業",IF([3]回答表!X43="○",[3]回答表!B190,IF([3]回答表!AA43="○",[3]回答表!B238,"")),"")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IF([3]回答表!F17="簡易水道事業",IF([3]回答表!X43="○",[3]回答表!Y181,IF([3]回答表!AA43="○",[3]回答表!Y229,"")),"")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IF([3]回答表!F17="簡易水道事業",IF([3]回答表!X43="○",[3]回答表!E190,IF([3]回答表!AA43="○",[3]回答表!E238,"")),"")</f>
        <v/>
      </c>
      <c r="BF114" s="83"/>
      <c r="BG114" s="83"/>
      <c r="BH114" s="83"/>
      <c r="BI114" s="82" t="str">
        <f>IF([3]回答表!F17="簡易水道事業",IF([3]回答表!X43="○",[3]回答表!E191,IF([3]回答表!AA43="○",[3]回答表!E239,"")),"")</f>
        <v/>
      </c>
      <c r="BJ114" s="83"/>
      <c r="BK114" s="83"/>
      <c r="BL114" s="83"/>
      <c r="BM114" s="82" t="str">
        <f>IF([3]回答表!F17="簡易水道事業",IF([3]回答表!X43="○",[3]回答表!E192,IF([3]回答表!AA43="○",[3]回答表!E240,"")),"")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IF([3]回答表!F17="簡易水道事業",IF([3]回答表!AA43="○","○",""),"")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IF([3]回答表!F17="簡易水道事業",IF([3]回答表!X43="○",[3]回答表!Y182,IF([3]回答表!AA43="○",[3]回答表!Y230,"")),"")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IF([3]回答表!F17="簡易水道事業",IF([3]回答表!AD43="○","○",""),"")</f>
        <v/>
      </c>
      <c r="O123" s="98"/>
      <c r="P123" s="98"/>
      <c r="Q123" s="99"/>
      <c r="R123" s="39"/>
      <c r="S123" s="39"/>
      <c r="T123" s="39"/>
      <c r="U123" s="106" t="str">
        <f>IF([3]回答表!F17="簡易水道事業",IF([3]回答表!AD43="○",[3]回答表!B249,""),"")</f>
        <v/>
      </c>
      <c r="V123" s="107"/>
      <c r="W123" s="107"/>
      <c r="X123" s="107"/>
      <c r="Y123" s="107"/>
      <c r="Z123" s="107"/>
      <c r="AA123" s="107"/>
      <c r="AB123" s="107"/>
      <c r="AC123" s="107"/>
      <c r="AD123" s="107"/>
      <c r="AE123" s="107"/>
      <c r="AF123" s="107"/>
      <c r="AG123" s="107"/>
      <c r="AH123" s="107"/>
      <c r="AI123" s="107"/>
      <c r="AJ123" s="108"/>
      <c r="AK123" s="56"/>
      <c r="AL123" s="56"/>
      <c r="AM123" s="106" t="str">
        <f>IF([3]回答表!F17="簡易水道事業",IF([3]回答表!AD43="○",[3]回答表!B255,""),"")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IF([3]回答表!F17="下水道事業",IF([3]回答表!X43="○","○",""),"")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IF([3]回答表!F17="下水道事業",IF([3]回答表!X43="○",[3]回答表!B154,IF([3]回答表!AA43="○",[3]回答表!B201,"")),"")</f>
        <v/>
      </c>
      <c r="AN135" s="107"/>
      <c r="AO135" s="107"/>
      <c r="AP135" s="107"/>
      <c r="AQ135" s="107"/>
      <c r="AR135" s="107"/>
      <c r="AS135" s="107"/>
      <c r="AT135" s="107"/>
      <c r="AU135" s="107"/>
      <c r="AV135" s="107"/>
      <c r="AW135" s="107"/>
      <c r="AX135" s="107"/>
      <c r="AY135" s="107"/>
      <c r="AZ135" s="107"/>
      <c r="BA135" s="107"/>
      <c r="BB135" s="108"/>
      <c r="BC135" s="40"/>
      <c r="BD135" s="35"/>
      <c r="BE135" s="115" t="str">
        <f>IF([3]回答表!F17="下水道事業",IF([3]回答表!X43="○",[3]回答表!B190,IF([3]回答表!AA43="○",[3]回答表!B238,"")),"")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IF([3]回答表!F17="下水道事業",IF([3]回答表!X43="○",[3]回答表!Y184,IF([3]回答表!AA43="○",[3]回答表!Y232,"")),"")</f>
        <v/>
      </c>
      <c r="V137" s="119"/>
      <c r="W137" s="119"/>
      <c r="X137" s="119"/>
      <c r="Y137" s="119"/>
      <c r="Z137" s="119"/>
      <c r="AA137" s="119"/>
      <c r="AB137" s="120"/>
      <c r="AC137" s="118" t="str">
        <f>IF([3]回答表!F17="下水道事業",IF([3]回答表!X43="○",[3]回答表!Y185,IF([3]回答表!AA43="○",[3]回答表!Y233,"")),"")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IF([3]回答表!F17="下水道事業",IF([3]回答表!X43="○",[3]回答表!E190,IF([3]回答表!AA43="○",[3]回答表!E238,"")),"")</f>
        <v/>
      </c>
      <c r="BF138" s="83"/>
      <c r="BG138" s="83"/>
      <c r="BH138" s="83"/>
      <c r="BI138" s="82" t="str">
        <f>IF([3]回答表!F17="下水道事業",IF([3]回答表!X43="○",[3]回答表!E191,IF([3]回答表!AA43="○",[3]回答表!E239,"")),"")</f>
        <v/>
      </c>
      <c r="BJ138" s="83"/>
      <c r="BK138" s="83"/>
      <c r="BL138" s="83"/>
      <c r="BM138" s="82" t="str">
        <f>IF([3]回答表!F17="下水道事業",IF([3]回答表!X43="○",[3]回答表!E192,IF([3]回答表!AA43="○",[3]回答表!E240,"")),"")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IF([3]回答表!F17="下水道事業",IF([3]回答表!AA43="○","○",""),"")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IF([3]回答表!F17="下水道事業",IF([3]回答表!X43="○",[3]回答表!Y186,IF([3]回答表!AA43="○",[3]回答表!Y234,"")),"")</f>
        <v/>
      </c>
      <c r="V142" s="119"/>
      <c r="W142" s="119"/>
      <c r="X142" s="119"/>
      <c r="Y142" s="119"/>
      <c r="Z142" s="119"/>
      <c r="AA142" s="119"/>
      <c r="AB142" s="120"/>
      <c r="AC142" s="118" t="str">
        <f>IF([3]回答表!F17="下水道事業",IF([3]回答表!X43="○",[3]回答表!Y187,IF([3]回答表!AA43="○",[3]回答表!Y235,"")),"")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IF([3]回答表!F17="下水道事業",IF([3]回答表!AD43="○","○",""),"")</f>
        <v/>
      </c>
      <c r="O147" s="98"/>
      <c r="P147" s="98"/>
      <c r="Q147" s="99"/>
      <c r="R147" s="39"/>
      <c r="S147" s="39"/>
      <c r="T147" s="39"/>
      <c r="U147" s="106" t="str">
        <f>IF([3]回答表!F17="下水道事業",IF([3]回答表!AD43="○",[3]回答表!B249,""),"")</f>
        <v/>
      </c>
      <c r="V147" s="107"/>
      <c r="W147" s="107"/>
      <c r="X147" s="107"/>
      <c r="Y147" s="107"/>
      <c r="Z147" s="107"/>
      <c r="AA147" s="107"/>
      <c r="AB147" s="107"/>
      <c r="AC147" s="107"/>
      <c r="AD147" s="107"/>
      <c r="AE147" s="107"/>
      <c r="AF147" s="107"/>
      <c r="AG147" s="107"/>
      <c r="AH147" s="107"/>
      <c r="AI147" s="107"/>
      <c r="AJ147" s="108"/>
      <c r="AK147" s="56"/>
      <c r="AL147" s="56"/>
      <c r="AM147" s="106" t="str">
        <f>IF([3]回答表!F17="下水道事業",IF([3]回答表!AD43="○",[3]回答表!B255,""),"")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IF([3]回答表!BD17="○",IF([3]回答表!X43="○","○",""),"")</f>
        <v/>
      </c>
      <c r="O159" s="98"/>
      <c r="P159" s="98"/>
      <c r="Q159" s="99"/>
      <c r="R159" s="39"/>
      <c r="S159" s="39"/>
      <c r="T159" s="39"/>
      <c r="U159" s="106" t="str">
        <f>IF([3]回答表!BD17="○",IF([3]回答表!X43="○",[3]回答表!B154,IF([3]回答表!AA43="○",[3]回答表!B201,"")),"")</f>
        <v/>
      </c>
      <c r="V159" s="107"/>
      <c r="W159" s="107"/>
      <c r="X159" s="107"/>
      <c r="Y159" s="107"/>
      <c r="Z159" s="107"/>
      <c r="AA159" s="107"/>
      <c r="AB159" s="107"/>
      <c r="AC159" s="107"/>
      <c r="AD159" s="107"/>
      <c r="AE159" s="107"/>
      <c r="AF159" s="107"/>
      <c r="AG159" s="107"/>
      <c r="AH159" s="107"/>
      <c r="AI159" s="107"/>
      <c r="AJ159" s="108"/>
      <c r="AK159" s="50"/>
      <c r="AL159" s="50"/>
      <c r="AM159" s="115" t="str">
        <f>IF([3]回答表!BD17="○",IF([3]回答表!X43="○",[3]回答表!B190,IF([3]回答表!AA43="○",[3]回答表!B238,"")),"")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IF([3]回答表!BD17="○",IF([3]回答表!X43="○",[3]回答表!E190,IF([3]回答表!AA43="○",[3]回答表!E238,"")),"")</f>
        <v/>
      </c>
      <c r="AN162" s="83"/>
      <c r="AO162" s="83"/>
      <c r="AP162" s="83"/>
      <c r="AQ162" s="82" t="str">
        <f>IF([3]回答表!BD17="○",IF([3]回答表!X43="○",[3]回答表!E191,IF([3]回答表!AA43="○",[3]回答表!E239,"")),"")</f>
        <v/>
      </c>
      <c r="AR162" s="83"/>
      <c r="AS162" s="83"/>
      <c r="AT162" s="83"/>
      <c r="AU162" s="82" t="str">
        <f>IF([3]回答表!BD17="○",IF([3]回答表!X43="○",[3]回答表!E192,IF([3]回答表!AA43="○",[3]回答表!E240,"")),"")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IF([3]回答表!BD17="○",IF([3]回答表!AA43="○","○",""),"")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IF([3]回答表!BD17="○",IF([3]回答表!AD43="○","○",""),"")</f>
        <v/>
      </c>
      <c r="O171" s="98"/>
      <c r="P171" s="98"/>
      <c r="Q171" s="99"/>
      <c r="R171" s="39"/>
      <c r="S171" s="39"/>
      <c r="T171" s="39"/>
      <c r="U171" s="106" t="str">
        <f>IF([3]回答表!BD17="○",IF([3]回答表!AD43="○",[3]回答表!B249,""),"")</f>
        <v/>
      </c>
      <c r="V171" s="107"/>
      <c r="W171" s="107"/>
      <c r="X171" s="107"/>
      <c r="Y171" s="107"/>
      <c r="Z171" s="107"/>
      <c r="AA171" s="107"/>
      <c r="AB171" s="107"/>
      <c r="AC171" s="107"/>
      <c r="AD171" s="107"/>
      <c r="AE171" s="107"/>
      <c r="AF171" s="107"/>
      <c r="AG171" s="107"/>
      <c r="AH171" s="107"/>
      <c r="AI171" s="107"/>
      <c r="AJ171" s="108"/>
      <c r="AK171" s="56"/>
      <c r="AL171" s="56"/>
      <c r="AM171" s="106" t="str">
        <f>IF([3]回答表!BD17="○",IF([3]回答表!AD43="○",[3]回答表!B255,""),"")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IF([3]回答表!X44="○","○","")</f>
        <v/>
      </c>
      <c r="O183" s="98"/>
      <c r="P183" s="98"/>
      <c r="Q183" s="99"/>
      <c r="R183" s="39"/>
      <c r="S183" s="39"/>
      <c r="T183" s="39"/>
      <c r="U183" s="106" t="str">
        <f>IF([3]回答表!X44="○",[3]回答表!B266,IF([3]回答表!AA44="○",[3]回答表!B283,""))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IF([3]回答表!X44="○",[3]回答表!U272,IF([3]回答表!AA44="○",[3]回答表!U289,""))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IF([3]回答表!X44="○",[3]回答表!G272,IF([3]回答表!AA44="○",[3]回答表!G289,""))</f>
        <v/>
      </c>
      <c r="AN186" s="119"/>
      <c r="AO186" s="119"/>
      <c r="AP186" s="119"/>
      <c r="AQ186" s="119"/>
      <c r="AR186" s="119"/>
      <c r="AS186" s="119"/>
      <c r="AT186" s="120"/>
      <c r="AU186" s="118" t="str">
        <f>IF([3]回答表!X44="○",[3]回答表!G273,IF([3]回答表!AA44="○",[3]回答表!G290,""))</f>
        <v/>
      </c>
      <c r="AV186" s="119"/>
      <c r="AW186" s="119"/>
      <c r="AX186" s="119"/>
      <c r="AY186" s="119"/>
      <c r="AZ186" s="119"/>
      <c r="BA186" s="119"/>
      <c r="BB186" s="120"/>
      <c r="BC186" s="40"/>
      <c r="BD186" s="35"/>
      <c r="BE186" s="82" t="str">
        <f>IF([3]回答表!X44="○",[3]回答表!X272,IF([3]回答表!AA44="○",[3]回答表!X289,""))</f>
        <v/>
      </c>
      <c r="BF186" s="83"/>
      <c r="BG186" s="83"/>
      <c r="BH186" s="83"/>
      <c r="BI186" s="82" t="str">
        <f>IF([3]回答表!X44="○",[3]回答表!X273,IF([3]回答表!AA44="○",[3]回答表!X290,""))</f>
        <v/>
      </c>
      <c r="BJ186" s="83"/>
      <c r="BK186" s="83"/>
      <c r="BL186" s="86"/>
      <c r="BM186" s="82" t="str">
        <f>IF([3]回答表!X44="○",[3]回答表!X274,IF([3]回答表!AA44="○",[3]回答表!X291,""))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IF([3]回答表!AA44="○","○","")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IF([3]回答表!AD44="○","○","")</f>
        <v/>
      </c>
      <c r="O195" s="98"/>
      <c r="P195" s="98"/>
      <c r="Q195" s="99"/>
      <c r="R195" s="39"/>
      <c r="S195" s="39"/>
      <c r="T195" s="39"/>
      <c r="U195" s="106" t="str">
        <f>IF([3]回答表!AD44="○",[3]回答表!B296,"")</f>
        <v/>
      </c>
      <c r="V195" s="107"/>
      <c r="W195" s="107"/>
      <c r="X195" s="107"/>
      <c r="Y195" s="107"/>
      <c r="Z195" s="107"/>
      <c r="AA195" s="107"/>
      <c r="AB195" s="107"/>
      <c r="AC195" s="107"/>
      <c r="AD195" s="107"/>
      <c r="AE195" s="107"/>
      <c r="AF195" s="107"/>
      <c r="AG195" s="107"/>
      <c r="AH195" s="107"/>
      <c r="AI195" s="107"/>
      <c r="AJ195" s="108"/>
      <c r="AK195" s="61"/>
      <c r="AL195" s="61"/>
      <c r="AM195" s="106" t="str">
        <f>IF([3]回答表!AD44="○",[3]回答表!B302,"")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IF([3]回答表!X45="○","○","")</f>
        <v>○</v>
      </c>
      <c r="O207" s="98"/>
      <c r="P207" s="98"/>
      <c r="Q207" s="99"/>
      <c r="R207" s="39"/>
      <c r="S207" s="39"/>
      <c r="T207" s="39"/>
      <c r="U207" s="106" t="str">
        <f>IF([3]回答表!X45="○",[3]回答表!B314,IF([3]回答表!AA45="○",[3]回答表!B337,""))</f>
        <v>上下水道料金等関連業務について、事業提案型プロポーザル方式により委託者を選定し、委託契約を締結した。（期間５年）</v>
      </c>
      <c r="V207" s="107"/>
      <c r="W207" s="107"/>
      <c r="X207" s="107"/>
      <c r="Y207" s="107"/>
      <c r="Z207" s="107"/>
      <c r="AA207" s="107"/>
      <c r="AB207" s="107"/>
      <c r="AC207" s="107"/>
      <c r="AD207" s="107"/>
      <c r="AE207" s="107"/>
      <c r="AF207" s="107"/>
      <c r="AG207" s="107"/>
      <c r="AH207" s="107"/>
      <c r="AI207" s="107"/>
      <c r="AJ207" s="108"/>
      <c r="AK207" s="50"/>
      <c r="AL207" s="50"/>
      <c r="AM207" s="50"/>
      <c r="AN207" s="106" t="str">
        <f>IF([3]回答表!X45="○",[3]回答表!B320,"")</f>
        <v>窓口業務、調定業務、収納業務、還付業務、滞納整理業務、電算処理業務（料金システムを含む）、その他付帯業務　</v>
      </c>
      <c r="AO207" s="164"/>
      <c r="AP207" s="164"/>
      <c r="AQ207" s="164"/>
      <c r="AR207" s="164"/>
      <c r="AS207" s="164"/>
      <c r="AT207" s="164"/>
      <c r="AU207" s="164"/>
      <c r="AV207" s="164"/>
      <c r="AW207" s="164"/>
      <c r="AX207" s="164"/>
      <c r="AY207" s="164"/>
      <c r="AZ207" s="164"/>
      <c r="BA207" s="164"/>
      <c r="BB207" s="165"/>
      <c r="BC207" s="40"/>
      <c r="BD207" s="35"/>
      <c r="BE207" s="115" t="str">
        <f>IF([3]回答表!X45="○",[3]回答表!B326,IF([3]回答表!AA45="○",[3]回答表!B343,""))</f>
        <v>平成</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f>IF([3]回答表!X45="○",[3]回答表!E326,IF([3]回答表!AA45="○",[3]回答表!E343,""))</f>
        <v>22</v>
      </c>
      <c r="BF210" s="83"/>
      <c r="BG210" s="83"/>
      <c r="BH210" s="83"/>
      <c r="BI210" s="82">
        <f>IF([3]回答表!X45="○",[3]回答表!E327,IF([3]回答表!AA45="○",[3]回答表!E344,""))</f>
        <v>11</v>
      </c>
      <c r="BJ210" s="83"/>
      <c r="BK210" s="83"/>
      <c r="BL210" s="86"/>
      <c r="BM210" s="82">
        <f>IF([3]回答表!X45="○",[3]回答表!E328,IF([3]回答表!AA45="○",[3]回答表!E345,""))</f>
        <v>30</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IF([3]回答表!AA45="○","○","")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IF([3]回答表!AD45="○","○","")</f>
        <v/>
      </c>
      <c r="O219" s="98"/>
      <c r="P219" s="98"/>
      <c r="Q219" s="99"/>
      <c r="R219" s="39"/>
      <c r="S219" s="39"/>
      <c r="T219" s="39"/>
      <c r="U219" s="106" t="str">
        <f>IF([3]回答表!AD45="○",[3]回答表!B350,"")</f>
        <v/>
      </c>
      <c r="V219" s="107"/>
      <c r="W219" s="107"/>
      <c r="X219" s="107"/>
      <c r="Y219" s="107"/>
      <c r="Z219" s="107"/>
      <c r="AA219" s="107"/>
      <c r="AB219" s="107"/>
      <c r="AC219" s="107"/>
      <c r="AD219" s="107"/>
      <c r="AE219" s="107"/>
      <c r="AF219" s="107"/>
      <c r="AG219" s="107"/>
      <c r="AH219" s="107"/>
      <c r="AI219" s="107"/>
      <c r="AJ219" s="108"/>
      <c r="AK219" s="61"/>
      <c r="AL219" s="61"/>
      <c r="AM219" s="106" t="str">
        <f>IF([3]回答表!AD45="○",[3]回答表!B356,"")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IF([3]回答表!X46="○","○","")</f>
        <v/>
      </c>
      <c r="O231" s="98"/>
      <c r="P231" s="98"/>
      <c r="Q231" s="99"/>
      <c r="R231" s="39"/>
      <c r="S231" s="39"/>
      <c r="T231" s="39"/>
      <c r="U231" s="106" t="str">
        <f>IF([3]回答表!X46="○",[3]回答表!B368,IF([3]回答表!AA46="○",[3]回答表!B382,""))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IF([3]回答表!X46="○",[3]回答表!BC375,IF([3]回答表!AA46="○",[3]回答表!BC389,""))</f>
        <v/>
      </c>
      <c r="AR231" s="150"/>
      <c r="AS231" s="150"/>
      <c r="AT231" s="150"/>
      <c r="AU231" s="155" t="s">
        <v>63</v>
      </c>
      <c r="AV231" s="156"/>
      <c r="AW231" s="156"/>
      <c r="AX231" s="157"/>
      <c r="AY231" s="150" t="str">
        <f>IF([3]回答表!X46="○",[3]回答表!BC380,IF([3]回答表!AA46="○",[3]回答表!BC394,""))</f>
        <v/>
      </c>
      <c r="AZ231" s="150"/>
      <c r="BA231" s="150"/>
      <c r="BB231" s="150"/>
      <c r="BC231" s="40"/>
      <c r="BD231" s="35"/>
      <c r="BE231" s="115" t="str">
        <f>IF([3]回答表!X46="○",[3]回答表!S374,IF([3]回答表!AA46="○",[3]回答表!S388,""))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IF([3]回答表!X46="○",[3]回答表!BC376,IF([3]回答表!AA46="○",[3]回答表!BC390,""))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IF([3]回答表!X46="○",[3]回答表!V374,IF([3]回答表!AA46="○",[3]回答表!V388,""))</f>
        <v/>
      </c>
      <c r="BF234" s="83"/>
      <c r="BG234" s="83"/>
      <c r="BH234" s="83"/>
      <c r="BI234" s="82" t="str">
        <f>IF([3]回答表!X46="○",[3]回答表!V375,IF([3]回答表!AA46="○",[3]回答表!V389,""))</f>
        <v/>
      </c>
      <c r="BJ234" s="83"/>
      <c r="BK234" s="83"/>
      <c r="BL234" s="86"/>
      <c r="BM234" s="82" t="str">
        <f>IF([3]回答表!X46="○",[3]回答表!V376,IF([3]回答表!AA46="○",[3]回答表!V390,""))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IF([3]回答表!X46="○",[3]回答表!BC377,IF([3]回答表!AA46="○",[3]回答表!BC391,""))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IF([3]回答表!X46="○",[3]回答表!BC381,IF([3]回答表!AA46="○",[3]回答表!BC395,""))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IF([3]回答表!AA46="○","○","")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IF([3]回答表!X46="○",[3]回答表!BC378,IF([3]回答表!AA46="○",[3]回答表!BC392,""))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IF([3]回答表!X46="○",[3]回答表!BC379,IF([3]回答表!AA46="○",[3]回答表!BC393,""))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IF([3]回答表!AD46="○","○","")</f>
        <v/>
      </c>
      <c r="O243" s="98"/>
      <c r="P243" s="98"/>
      <c r="Q243" s="99"/>
      <c r="R243" s="39"/>
      <c r="S243" s="39"/>
      <c r="T243" s="39"/>
      <c r="U243" s="106" t="str">
        <f>IF([3]回答表!AD46="○",[3]回答表!B396,"")</f>
        <v/>
      </c>
      <c r="V243" s="107"/>
      <c r="W243" s="107"/>
      <c r="X243" s="107"/>
      <c r="Y243" s="107"/>
      <c r="Z243" s="107"/>
      <c r="AA243" s="107"/>
      <c r="AB243" s="107"/>
      <c r="AC243" s="107"/>
      <c r="AD243" s="107"/>
      <c r="AE243" s="107"/>
      <c r="AF243" s="107"/>
      <c r="AG243" s="107"/>
      <c r="AH243" s="107"/>
      <c r="AI243" s="107"/>
      <c r="AJ243" s="108"/>
      <c r="AK243" s="56"/>
      <c r="AL243" s="56"/>
      <c r="AM243" s="106" t="str">
        <f>IF([3]回答表!AD46="○",[3]回答表!B402,"")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IF([3]回答表!X47="○","○","")</f>
        <v/>
      </c>
      <c r="O254" s="98"/>
      <c r="P254" s="98"/>
      <c r="Q254" s="99"/>
      <c r="R254" s="39"/>
      <c r="S254" s="39"/>
      <c r="T254" s="39"/>
      <c r="U254" s="106" t="str">
        <f>IF([3]回答表!X47="○",[3]回答表!B414,IF([3]回答表!AA47="○",[3]回答表!B431,""))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IF([3]回答表!X47="○",[3]回答表!B424,IF([3]回答表!AA47="○",[3]回答表!B441,""))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IF([3]回答表!X47="○",[3]回答表!G420,IF([3]回答表!AA47="○",[3]回答表!G437,""))</f>
        <v/>
      </c>
      <c r="AN256" s="119"/>
      <c r="AO256" s="119"/>
      <c r="AP256" s="119"/>
      <c r="AQ256" s="119"/>
      <c r="AR256" s="119"/>
      <c r="AS256" s="119"/>
      <c r="AT256" s="120"/>
      <c r="AU256" s="118" t="str">
        <f>IF([3]回答表!X47="○",[3]回答表!G421,IF([3]回答表!AA47="○",[3]回答表!G438,""))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IF([3]回答表!X47="○",[3]回答表!E424,IF([3]回答表!AA47="○",[3]回答表!E441,""))</f>
        <v/>
      </c>
      <c r="BF257" s="83"/>
      <c r="BG257" s="83"/>
      <c r="BH257" s="83"/>
      <c r="BI257" s="82" t="str">
        <f>IF([3]回答表!X47="○",[3]回答表!E425,IF([3]回答表!AA47="○",[3]回答表!E442,""))</f>
        <v/>
      </c>
      <c r="BJ257" s="83"/>
      <c r="BK257" s="83"/>
      <c r="BL257" s="86"/>
      <c r="BM257" s="82" t="str">
        <f>IF([3]回答表!X47="○",[3]回答表!E426,IF([3]回答表!AA47="○",[3]回答表!E443,""))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IF([3]回答表!AA47="○","○","")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IF([3]回答表!AD47="○","○","")</f>
        <v/>
      </c>
      <c r="O266" s="98"/>
      <c r="P266" s="98"/>
      <c r="Q266" s="99"/>
      <c r="R266" s="39"/>
      <c r="S266" s="39"/>
      <c r="T266" s="39"/>
      <c r="U266" s="106" t="str">
        <f>IF([3]回答表!AD47="○",[3]回答表!B448,"")</f>
        <v/>
      </c>
      <c r="V266" s="107"/>
      <c r="W266" s="107"/>
      <c r="X266" s="107"/>
      <c r="Y266" s="107"/>
      <c r="Z266" s="107"/>
      <c r="AA266" s="107"/>
      <c r="AB266" s="107"/>
      <c r="AC266" s="107"/>
      <c r="AD266" s="107"/>
      <c r="AE266" s="107"/>
      <c r="AF266" s="107"/>
      <c r="AG266" s="107"/>
      <c r="AH266" s="107"/>
      <c r="AI266" s="107"/>
      <c r="AJ266" s="108"/>
      <c r="AK266" s="50"/>
      <c r="AL266" s="50"/>
      <c r="AM266" s="106" t="str">
        <f>IF([3]回答表!AD47="○",[3]回答表!B454,"")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IF([3]回答表!R48="○",[3]回答表!B467,"")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A7884-A83A-44C8-884E-AAFE9419B2CA}">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IF(COUNTIF([11]回答表!K15,"*")&gt;0,[11]回答表!K15,"")</f>
        <v>横手市</v>
      </c>
      <c r="D11" s="246"/>
      <c r="E11" s="246"/>
      <c r="F11" s="246"/>
      <c r="G11" s="246"/>
      <c r="H11" s="246"/>
      <c r="I11" s="246"/>
      <c r="J11" s="246"/>
      <c r="K11" s="246"/>
      <c r="L11" s="246"/>
      <c r="M11" s="246"/>
      <c r="N11" s="246"/>
      <c r="O11" s="246"/>
      <c r="P11" s="246"/>
      <c r="Q11" s="246"/>
      <c r="R11" s="246"/>
      <c r="S11" s="246"/>
      <c r="T11" s="246"/>
      <c r="U11" s="253" t="str">
        <f>IF(COUNTIF([11]回答表!F17,"*")&gt;0,[11]回答表!F17,"")</f>
        <v>観光施設事業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IF(COUNTIF([11]回答表!W17,"*")&gt;0,[11]回答表!W17,"")</f>
        <v>休養宿泊</v>
      </c>
      <c r="AP11" s="248"/>
      <c r="AQ11" s="248"/>
      <c r="AR11" s="248"/>
      <c r="AS11" s="248"/>
      <c r="AT11" s="248"/>
      <c r="AU11" s="248"/>
      <c r="AV11" s="248"/>
      <c r="AW11" s="248"/>
      <c r="AX11" s="248"/>
      <c r="AY11" s="248"/>
      <c r="AZ11" s="248"/>
      <c r="BA11" s="248"/>
      <c r="BB11" s="248"/>
      <c r="BC11" s="248"/>
      <c r="BD11" s="248"/>
      <c r="BE11" s="249"/>
      <c r="BF11" s="252" t="str">
        <f>IF(COUNTIF([11]回答表!F19,"*")&gt;0,[11]回答表!F19,"")</f>
        <v>ー</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IF([11]回答表!R41="○","○","")</f>
        <v/>
      </c>
      <c r="E24" s="122"/>
      <c r="F24" s="122"/>
      <c r="G24" s="122"/>
      <c r="H24" s="122"/>
      <c r="I24" s="122"/>
      <c r="J24" s="123"/>
      <c r="K24" s="121" t="str">
        <f>IF([11]回答表!R42="○","○","")</f>
        <v>○</v>
      </c>
      <c r="L24" s="122"/>
      <c r="M24" s="122"/>
      <c r="N24" s="122"/>
      <c r="O24" s="122"/>
      <c r="P24" s="122"/>
      <c r="Q24" s="123"/>
      <c r="R24" s="121" t="str">
        <f>IF([11]回答表!R43="○","○","")</f>
        <v/>
      </c>
      <c r="S24" s="122"/>
      <c r="T24" s="122"/>
      <c r="U24" s="122"/>
      <c r="V24" s="122"/>
      <c r="W24" s="122"/>
      <c r="X24" s="123"/>
      <c r="Y24" s="121" t="str">
        <f>IF([11]回答表!R44="○","○","")</f>
        <v/>
      </c>
      <c r="Z24" s="122"/>
      <c r="AA24" s="122"/>
      <c r="AB24" s="122"/>
      <c r="AC24" s="122"/>
      <c r="AD24" s="122"/>
      <c r="AE24" s="123"/>
      <c r="AF24" s="121" t="str">
        <f>IF([11]回答表!R45="○","○","")</f>
        <v/>
      </c>
      <c r="AG24" s="122"/>
      <c r="AH24" s="122"/>
      <c r="AI24" s="122"/>
      <c r="AJ24" s="122"/>
      <c r="AK24" s="122"/>
      <c r="AL24" s="123"/>
      <c r="AM24" s="121" t="str">
        <f>IF([11]回答表!R46="○","○","")</f>
        <v/>
      </c>
      <c r="AN24" s="122"/>
      <c r="AO24" s="122"/>
      <c r="AP24" s="122"/>
      <c r="AQ24" s="122"/>
      <c r="AR24" s="122"/>
      <c r="AS24" s="123"/>
      <c r="AT24" s="121" t="str">
        <f>IF([11]回答表!R47="○","○","")</f>
        <v/>
      </c>
      <c r="AU24" s="122"/>
      <c r="AV24" s="122"/>
      <c r="AW24" s="122"/>
      <c r="AX24" s="122"/>
      <c r="AY24" s="122"/>
      <c r="AZ24" s="123"/>
      <c r="BA24" s="19"/>
      <c r="BB24" s="118" t="str">
        <f>IF([11]回答表!R48="○","○","")</f>
        <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IF([11]回答表!X41="○","○","")</f>
        <v/>
      </c>
      <c r="O36" s="98"/>
      <c r="P36" s="98"/>
      <c r="Q36" s="99"/>
      <c r="R36" s="39"/>
      <c r="S36" s="39"/>
      <c r="T36" s="39"/>
      <c r="U36" s="106" t="str">
        <f>IF([11]回答表!X41="○",[11]回答表!B56,IF([11]回答表!AA41="○",[11]回答表!B76,""))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IF([11]回答表!X41="○",[11]回答表!S62,IF([11]回答表!AA41="○",[11]回答表!S82,""))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IF([11]回答表!X41="○",[11]回答表!G62,IF([11]回答表!AA41="○",[11]回答表!G82,""))</f>
        <v/>
      </c>
      <c r="AN38" s="119"/>
      <c r="AO38" s="119"/>
      <c r="AP38" s="119"/>
      <c r="AQ38" s="119"/>
      <c r="AR38" s="119"/>
      <c r="AS38" s="119"/>
      <c r="AT38" s="120"/>
      <c r="AU38" s="118" t="str">
        <f>IF([11]回答表!X41="○",[11]回答表!G63,IF([11]回答表!AA41="○",[11]回答表!G83,""))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IF([11]回答表!X41="○",[11]回答表!V62,IF([11]回答表!AA41="○",[11]回答表!V82,""))</f>
        <v/>
      </c>
      <c r="BF39" s="199"/>
      <c r="BG39" s="199"/>
      <c r="BH39" s="200"/>
      <c r="BI39" s="82" t="str">
        <f>IF([11]回答表!X41="○",[11]回答表!V63,IF([11]回答表!AA41="○",[11]回答表!V83,""))</f>
        <v/>
      </c>
      <c r="BJ39" s="199"/>
      <c r="BK39" s="199"/>
      <c r="BL39" s="200"/>
      <c r="BM39" s="82" t="str">
        <f>IF([11]回答表!X41="○",[11]回答表!V64,IF([11]回答表!AA41="○",[11]回答表!V84,""))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IF([11]回答表!X41="○",[11]回答表!O68,IF([11]回答表!AA41="○",[11]回答表!O88,""))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IF([11]回答表!X41="○",[11]回答表!O69,IF([11]回答表!AA41="○",[11]回答表!O89,""))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IF([11]回答表!AA41="○","○","")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IF([11]回答表!X41="○",[11]回答表!O70,IF([11]回答表!AA41="○",[11]回答表!O90,""))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IF([11]回答表!X41="○",[11]回答表!O71,IF([11]回答表!AA41="○",[11]回答表!O91,""))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IF([11]回答表!X41="○",[11]回答表!AG68,IF([11]回答表!AA41="○",[11]回答表!AG88,""))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IF([11]回答表!X41="○",[11]回答表!AG69,IF([11]回答表!AA41="○",[11]回答表!AG89,""))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IF([11]回答表!X41="○",[11]回答表!AG70,IF([11]回答表!AA41="○",[11]回答表!AG90,""))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IF([11]回答表!AD41="○","○","")</f>
        <v/>
      </c>
      <c r="O52" s="98"/>
      <c r="P52" s="98"/>
      <c r="Q52" s="99"/>
      <c r="R52" s="39"/>
      <c r="S52" s="39"/>
      <c r="T52" s="39"/>
      <c r="U52" s="106" t="str">
        <f>IF([11]回答表!AD41="○",[11]回答表!B96,"")</f>
        <v/>
      </c>
      <c r="V52" s="107"/>
      <c r="W52" s="107"/>
      <c r="X52" s="107"/>
      <c r="Y52" s="107"/>
      <c r="Z52" s="107"/>
      <c r="AA52" s="107"/>
      <c r="AB52" s="107"/>
      <c r="AC52" s="107"/>
      <c r="AD52" s="107"/>
      <c r="AE52" s="107"/>
      <c r="AF52" s="107"/>
      <c r="AG52" s="107"/>
      <c r="AH52" s="107"/>
      <c r="AI52" s="107"/>
      <c r="AJ52" s="108"/>
      <c r="AK52" s="56"/>
      <c r="AL52" s="56"/>
      <c r="AM52" s="106" t="str">
        <f>IF([11]回答表!AD41="○",[11]回答表!B101,"")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IF([11]回答表!X42="○","○","")</f>
        <v/>
      </c>
      <c r="O63" s="98"/>
      <c r="P63" s="98"/>
      <c r="Q63" s="99"/>
      <c r="R63" s="39"/>
      <c r="S63" s="39"/>
      <c r="T63" s="39"/>
      <c r="U63" s="106" t="str">
        <f>IF([11]回答表!X42="○",[11]回答表!B111,IF([11]回答表!AA42="○",[11]回答表!B124,""))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IF([11]回答表!X42="○",[11]回答表!S117,IF([11]回答表!AA42="○",[11]回答表!S130,""))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IF([11]回答表!X42="○",[11]回答表!J117,IF([11]回答表!AA42="○",[11]回答表!J130,""))</f>
        <v/>
      </c>
      <c r="AN66" s="119"/>
      <c r="AO66" s="119"/>
      <c r="AP66" s="119"/>
      <c r="AQ66" s="119"/>
      <c r="AR66" s="119"/>
      <c r="AS66" s="119"/>
      <c r="AT66" s="120"/>
      <c r="AU66" s="118" t="str">
        <f>IF([11]回答表!X42="○",[11]回答表!J118,IF([11]回答表!AA42="○",[11]回答表!J131,""))</f>
        <v/>
      </c>
      <c r="AV66" s="119"/>
      <c r="AW66" s="119"/>
      <c r="AX66" s="119"/>
      <c r="AY66" s="119"/>
      <c r="AZ66" s="119"/>
      <c r="BA66" s="119"/>
      <c r="BB66" s="120"/>
      <c r="BC66" s="40"/>
      <c r="BD66" s="35"/>
      <c r="BE66" s="82" t="str">
        <f>IF([11]回答表!X42="○",[11]回答表!V117,IF([11]回答表!AA42="○",[11]回答表!V130,""))</f>
        <v/>
      </c>
      <c r="BF66" s="83"/>
      <c r="BG66" s="83"/>
      <c r="BH66" s="83"/>
      <c r="BI66" s="82" t="str">
        <f>IF([11]回答表!X42="○",[11]回答表!V118,IF([11]回答表!AA42="○",[11]回答表!V131,""))</f>
        <v/>
      </c>
      <c r="BJ66" s="83"/>
      <c r="BK66" s="83"/>
      <c r="BL66" s="83"/>
      <c r="BM66" s="82" t="str">
        <f>IF([11]回答表!X42="○",[11]回答表!V119,IF([11]回答表!AA42="○",[11]回答表!V132,""))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IF([11]回答表!AA42="○","○","")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IF([11]回答表!AD42="○","○","")</f>
        <v>○</v>
      </c>
      <c r="O75" s="98"/>
      <c r="P75" s="98"/>
      <c r="Q75" s="99"/>
      <c r="R75" s="39"/>
      <c r="S75" s="39"/>
      <c r="T75" s="39"/>
      <c r="U75" s="269" t="str">
        <f>IF([11]回答表!AD42="○",[11]回答表!B137,"")</f>
        <v>平成29年度に市営温泉6施設の譲渡について公募形式で譲渡先を募り、平成30年度に6施設のうち3施設を民間企業に譲渡。民間譲渡とならなかった3施設についても民間譲渡の取組を推進する。
効果については、民間譲渡した3施設への一般会計繰入金63,131,000円（Ｈ29年度決算額）が削減。</v>
      </c>
      <c r="V75" s="270"/>
      <c r="W75" s="270"/>
      <c r="X75" s="270"/>
      <c r="Y75" s="270"/>
      <c r="Z75" s="270"/>
      <c r="AA75" s="270"/>
      <c r="AB75" s="270"/>
      <c r="AC75" s="270"/>
      <c r="AD75" s="270"/>
      <c r="AE75" s="270"/>
      <c r="AF75" s="270"/>
      <c r="AG75" s="270"/>
      <c r="AH75" s="270"/>
      <c r="AI75" s="270"/>
      <c r="AJ75" s="271"/>
      <c r="AK75" s="56"/>
      <c r="AL75" s="56"/>
      <c r="AM75" s="278" t="str">
        <f>IF([11]回答表!AD42="○",[11]回答表!B143,"")</f>
        <v>新型コロナウイルスの影響もあり、民間であっても温泉経営を維持していくことは厳しい状況となっている。そのため、現在保有する３施設を譲渡し、経営できる民間企業があるかが課題。</v>
      </c>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80"/>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272"/>
      <c r="V76" s="273"/>
      <c r="W76" s="273"/>
      <c r="X76" s="273"/>
      <c r="Y76" s="273"/>
      <c r="Z76" s="273"/>
      <c r="AA76" s="273"/>
      <c r="AB76" s="273"/>
      <c r="AC76" s="273"/>
      <c r="AD76" s="273"/>
      <c r="AE76" s="273"/>
      <c r="AF76" s="273"/>
      <c r="AG76" s="273"/>
      <c r="AH76" s="273"/>
      <c r="AI76" s="273"/>
      <c r="AJ76" s="274"/>
      <c r="AK76" s="56"/>
      <c r="AL76" s="56"/>
      <c r="AM76" s="281"/>
      <c r="AN76" s="282"/>
      <c r="AO76" s="282"/>
      <c r="AP76" s="282"/>
      <c r="AQ76" s="282"/>
      <c r="AR76" s="282"/>
      <c r="AS76" s="282"/>
      <c r="AT76" s="282"/>
      <c r="AU76" s="282"/>
      <c r="AV76" s="282"/>
      <c r="AW76" s="282"/>
      <c r="AX76" s="282"/>
      <c r="AY76" s="282"/>
      <c r="AZ76" s="282"/>
      <c r="BA76" s="282"/>
      <c r="BB76" s="282"/>
      <c r="BC76" s="282"/>
      <c r="BD76" s="282"/>
      <c r="BE76" s="282"/>
      <c r="BF76" s="282"/>
      <c r="BG76" s="282"/>
      <c r="BH76" s="282"/>
      <c r="BI76" s="282"/>
      <c r="BJ76" s="282"/>
      <c r="BK76" s="282"/>
      <c r="BL76" s="282"/>
      <c r="BM76" s="282"/>
      <c r="BN76" s="282"/>
      <c r="BO76" s="282"/>
      <c r="BP76" s="283"/>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272"/>
      <c r="V77" s="273"/>
      <c r="W77" s="273"/>
      <c r="X77" s="273"/>
      <c r="Y77" s="273"/>
      <c r="Z77" s="273"/>
      <c r="AA77" s="273"/>
      <c r="AB77" s="273"/>
      <c r="AC77" s="273"/>
      <c r="AD77" s="273"/>
      <c r="AE77" s="273"/>
      <c r="AF77" s="273"/>
      <c r="AG77" s="273"/>
      <c r="AH77" s="273"/>
      <c r="AI77" s="273"/>
      <c r="AJ77" s="274"/>
      <c r="AK77" s="56"/>
      <c r="AL77" s="56"/>
      <c r="AM77" s="281"/>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c r="BO77" s="282"/>
      <c r="BP77" s="283"/>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275"/>
      <c r="V78" s="276"/>
      <c r="W78" s="276"/>
      <c r="X78" s="276"/>
      <c r="Y78" s="276"/>
      <c r="Z78" s="276"/>
      <c r="AA78" s="276"/>
      <c r="AB78" s="276"/>
      <c r="AC78" s="276"/>
      <c r="AD78" s="276"/>
      <c r="AE78" s="276"/>
      <c r="AF78" s="276"/>
      <c r="AG78" s="276"/>
      <c r="AH78" s="276"/>
      <c r="AI78" s="276"/>
      <c r="AJ78" s="277"/>
      <c r="AK78" s="56"/>
      <c r="AL78" s="56"/>
      <c r="AM78" s="284"/>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IF([11]回答表!F17="水道事業",IF([11]回答表!X43="○","○",""),"")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IF([11]回答表!F17="水道事業",IF([11]回答表!X43="○",[11]回答表!B154,IF([11]回答表!AA43="○",[11]回答表!B201,"")),"")</f>
        <v/>
      </c>
      <c r="AN87" s="107"/>
      <c r="AO87" s="107"/>
      <c r="AP87" s="107"/>
      <c r="AQ87" s="107"/>
      <c r="AR87" s="107"/>
      <c r="AS87" s="107"/>
      <c r="AT87" s="107"/>
      <c r="AU87" s="107"/>
      <c r="AV87" s="107"/>
      <c r="AW87" s="107"/>
      <c r="AX87" s="107"/>
      <c r="AY87" s="107"/>
      <c r="AZ87" s="107"/>
      <c r="BA87" s="107"/>
      <c r="BB87" s="108"/>
      <c r="BC87" s="40"/>
      <c r="BD87" s="35"/>
      <c r="BE87" s="115" t="str">
        <f>IF([11]回答表!F17="水道事業",IF([11]回答表!X43="○",[11]回答表!B190,IF([11]回答表!AA43="○",[11]回答表!B238,"")),"")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IF([11]回答表!F17="水道事業",IF([11]回答表!X43="○",[11]回答表!J162,IF([11]回答表!AA43="○",[11]回答表!J209,"")),"")</f>
        <v/>
      </c>
      <c r="V89" s="119"/>
      <c r="W89" s="119"/>
      <c r="X89" s="119"/>
      <c r="Y89" s="119"/>
      <c r="Z89" s="119"/>
      <c r="AA89" s="119"/>
      <c r="AB89" s="120"/>
      <c r="AC89" s="118" t="str">
        <f>IF([11]回答表!F17="水道事業",IF([11]回答表!X43="○",[11]回答表!J169,IF([11]回答表!AA43="○",[11]回答表!J216,"")),"")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IF([11]回答表!F17="水道事業",IF([11]回答表!X43="○",[11]回答表!E190,IF([11]回答表!AA43="○",[11]回答表!E238,"")),"")</f>
        <v/>
      </c>
      <c r="BF90" s="83"/>
      <c r="BG90" s="83"/>
      <c r="BH90" s="83"/>
      <c r="BI90" s="82" t="str">
        <f>IF([11]回答表!F17="水道事業",IF([11]回答表!X43="○",[11]回答表!E191,IF([11]回答表!AA43="○",[11]回答表!E239,"")),"")</f>
        <v/>
      </c>
      <c r="BJ90" s="83"/>
      <c r="BK90" s="83"/>
      <c r="BL90" s="83"/>
      <c r="BM90" s="82" t="str">
        <f>IF([11]回答表!F17="水道事業",IF([11]回答表!X43="○",[11]回答表!E192,IF([11]回答表!AA43="○",[11]回答表!E240,"")),"")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IF([11]回答表!F17="水道事業",IF([11]回答表!AA43="○","○",""),"")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IF([11]回答表!F17="水道事業",IF([11]回答表!X43="○",[11]回答表!J172,IF([11]回答表!AA43="○",[11]回答表!J219,"")),"")</f>
        <v/>
      </c>
      <c r="V94" s="119"/>
      <c r="W94" s="119"/>
      <c r="X94" s="119"/>
      <c r="Y94" s="119"/>
      <c r="Z94" s="119"/>
      <c r="AA94" s="119"/>
      <c r="AB94" s="120"/>
      <c r="AC94" s="118" t="str">
        <f>IF([11]回答表!F17="水道事業",IF([11]回答表!X43="○",[11]回答表!J176,IF([11]回答表!AA43="○",[11]回答表!J223,"")),"")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IF([11]回答表!F17="水道事業",IF([11]回答表!AD43="○","○",""),"")</f>
        <v/>
      </c>
      <c r="O99" s="98"/>
      <c r="P99" s="98"/>
      <c r="Q99" s="99"/>
      <c r="R99" s="39"/>
      <c r="S99" s="39"/>
      <c r="T99" s="39"/>
      <c r="U99" s="106" t="str">
        <f>IF([11]回答表!F17="水道事業",IF([11]回答表!AD43="○",[11]回答表!B249,""),"")</f>
        <v/>
      </c>
      <c r="V99" s="107"/>
      <c r="W99" s="107"/>
      <c r="X99" s="107"/>
      <c r="Y99" s="107"/>
      <c r="Z99" s="107"/>
      <c r="AA99" s="107"/>
      <c r="AB99" s="107"/>
      <c r="AC99" s="107"/>
      <c r="AD99" s="107"/>
      <c r="AE99" s="107"/>
      <c r="AF99" s="107"/>
      <c r="AG99" s="107"/>
      <c r="AH99" s="107"/>
      <c r="AI99" s="107"/>
      <c r="AJ99" s="108"/>
      <c r="AK99" s="56"/>
      <c r="AL99" s="56"/>
      <c r="AM99" s="106" t="str">
        <f>IF([11]回答表!F17="水道事業",IF([11]回答表!AD43="○",[11]回答表!B255,""),"")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IF([11]回答表!F17="簡易水道事業",IF([11]回答表!X43="○","○",""),"")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IF([11]回答表!F17="簡易水道事業",IF([11]回答表!X43="○",[11]回答表!B154,IF([11]回答表!AA43="○",[11]回答表!B201,"")),"")</f>
        <v/>
      </c>
      <c r="AN111" s="107"/>
      <c r="AO111" s="107"/>
      <c r="AP111" s="107"/>
      <c r="AQ111" s="107"/>
      <c r="AR111" s="107"/>
      <c r="AS111" s="107"/>
      <c r="AT111" s="107"/>
      <c r="AU111" s="107"/>
      <c r="AV111" s="107"/>
      <c r="AW111" s="107"/>
      <c r="AX111" s="107"/>
      <c r="AY111" s="107"/>
      <c r="AZ111" s="107"/>
      <c r="BA111" s="107"/>
      <c r="BB111" s="108"/>
      <c r="BC111" s="40"/>
      <c r="BD111" s="35"/>
      <c r="BE111" s="115" t="str">
        <f>IF([11]回答表!F17="簡易水道事業",IF([11]回答表!X43="○",[11]回答表!B190,IF([11]回答表!AA43="○",[11]回答表!B238,"")),"")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IF([11]回答表!F17="簡易水道事業",IF([11]回答表!X43="○",[11]回答表!Y181,IF([11]回答表!AA43="○",[11]回答表!Y229,"")),"")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IF([11]回答表!F17="簡易水道事業",IF([11]回答表!X43="○",[11]回答表!E190,IF([11]回答表!AA43="○",[11]回答表!E238,"")),"")</f>
        <v/>
      </c>
      <c r="BF114" s="83"/>
      <c r="BG114" s="83"/>
      <c r="BH114" s="83"/>
      <c r="BI114" s="82" t="str">
        <f>IF([11]回答表!F17="簡易水道事業",IF([11]回答表!X43="○",[11]回答表!E191,IF([11]回答表!AA43="○",[11]回答表!E239,"")),"")</f>
        <v/>
      </c>
      <c r="BJ114" s="83"/>
      <c r="BK114" s="83"/>
      <c r="BL114" s="83"/>
      <c r="BM114" s="82" t="str">
        <f>IF([11]回答表!F17="簡易水道事業",IF([11]回答表!X43="○",[11]回答表!E192,IF([11]回答表!AA43="○",[11]回答表!E240,"")),"")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IF([11]回答表!F17="簡易水道事業",IF([11]回答表!AA43="○","○",""),"")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IF([11]回答表!F17="簡易水道事業",IF([11]回答表!X43="○",[11]回答表!Y182,IF([11]回答表!AA43="○",[11]回答表!Y230,"")),"")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IF([11]回答表!F17="簡易水道事業",IF([11]回答表!AD43="○","○",""),"")</f>
        <v/>
      </c>
      <c r="O123" s="98"/>
      <c r="P123" s="98"/>
      <c r="Q123" s="99"/>
      <c r="R123" s="39"/>
      <c r="S123" s="39"/>
      <c r="T123" s="39"/>
      <c r="U123" s="106" t="str">
        <f>IF([11]回答表!F17="簡易水道事業",IF([11]回答表!AD43="○",[11]回答表!B249,""),"")</f>
        <v/>
      </c>
      <c r="V123" s="107"/>
      <c r="W123" s="107"/>
      <c r="X123" s="107"/>
      <c r="Y123" s="107"/>
      <c r="Z123" s="107"/>
      <c r="AA123" s="107"/>
      <c r="AB123" s="107"/>
      <c r="AC123" s="107"/>
      <c r="AD123" s="107"/>
      <c r="AE123" s="107"/>
      <c r="AF123" s="107"/>
      <c r="AG123" s="107"/>
      <c r="AH123" s="107"/>
      <c r="AI123" s="107"/>
      <c r="AJ123" s="108"/>
      <c r="AK123" s="56"/>
      <c r="AL123" s="56"/>
      <c r="AM123" s="106" t="str">
        <f>IF([11]回答表!F17="簡易水道事業",IF([11]回答表!AD43="○",[11]回答表!B255,""),"")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IF([11]回答表!F17="下水道事業",IF([11]回答表!X43="○","○",""),"")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IF([11]回答表!F17="下水道事業",IF([11]回答表!X43="○",[11]回答表!B154,IF([11]回答表!AA43="○",[11]回答表!B201,"")),"")</f>
        <v/>
      </c>
      <c r="AN135" s="107"/>
      <c r="AO135" s="107"/>
      <c r="AP135" s="107"/>
      <c r="AQ135" s="107"/>
      <c r="AR135" s="107"/>
      <c r="AS135" s="107"/>
      <c r="AT135" s="107"/>
      <c r="AU135" s="107"/>
      <c r="AV135" s="107"/>
      <c r="AW135" s="107"/>
      <c r="AX135" s="107"/>
      <c r="AY135" s="107"/>
      <c r="AZ135" s="107"/>
      <c r="BA135" s="107"/>
      <c r="BB135" s="108"/>
      <c r="BC135" s="40"/>
      <c r="BD135" s="35"/>
      <c r="BE135" s="115" t="str">
        <f>IF([11]回答表!F17="下水道事業",IF([11]回答表!X43="○",[11]回答表!B190,IF([11]回答表!AA43="○",[11]回答表!B238,"")),"")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IF([11]回答表!F17="下水道事業",IF([11]回答表!X43="○",[11]回答表!Y184,IF([11]回答表!AA43="○",[11]回答表!Y232,"")),"")</f>
        <v/>
      </c>
      <c r="V137" s="119"/>
      <c r="W137" s="119"/>
      <c r="X137" s="119"/>
      <c r="Y137" s="119"/>
      <c r="Z137" s="119"/>
      <c r="AA137" s="119"/>
      <c r="AB137" s="120"/>
      <c r="AC137" s="118" t="str">
        <f>IF([11]回答表!F17="下水道事業",IF([11]回答表!X43="○",[11]回答表!Y185,IF([11]回答表!AA43="○",[11]回答表!Y233,"")),"")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IF([11]回答表!F17="下水道事業",IF([11]回答表!X43="○",[11]回答表!E190,IF([11]回答表!AA43="○",[11]回答表!E238,"")),"")</f>
        <v/>
      </c>
      <c r="BF138" s="83"/>
      <c r="BG138" s="83"/>
      <c r="BH138" s="83"/>
      <c r="BI138" s="82" t="str">
        <f>IF([11]回答表!F17="下水道事業",IF([11]回答表!X43="○",[11]回答表!E191,IF([11]回答表!AA43="○",[11]回答表!E239,"")),"")</f>
        <v/>
      </c>
      <c r="BJ138" s="83"/>
      <c r="BK138" s="83"/>
      <c r="BL138" s="83"/>
      <c r="BM138" s="82" t="str">
        <f>IF([11]回答表!F17="下水道事業",IF([11]回答表!X43="○",[11]回答表!E192,IF([11]回答表!AA43="○",[11]回答表!E240,"")),"")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IF([11]回答表!F17="下水道事業",IF([11]回答表!AA43="○","○",""),"")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IF([11]回答表!F17="下水道事業",IF([11]回答表!X43="○",[11]回答表!Y186,IF([11]回答表!AA43="○",[11]回答表!Y234,"")),"")</f>
        <v/>
      </c>
      <c r="V142" s="119"/>
      <c r="W142" s="119"/>
      <c r="X142" s="119"/>
      <c r="Y142" s="119"/>
      <c r="Z142" s="119"/>
      <c r="AA142" s="119"/>
      <c r="AB142" s="120"/>
      <c r="AC142" s="118" t="str">
        <f>IF([11]回答表!F17="下水道事業",IF([11]回答表!X43="○",[11]回答表!Y187,IF([11]回答表!AA43="○",[11]回答表!Y235,"")),"")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IF([11]回答表!F17="下水道事業",IF([11]回答表!AD43="○","○",""),"")</f>
        <v/>
      </c>
      <c r="O147" s="98"/>
      <c r="P147" s="98"/>
      <c r="Q147" s="99"/>
      <c r="R147" s="39"/>
      <c r="S147" s="39"/>
      <c r="T147" s="39"/>
      <c r="U147" s="106" t="str">
        <f>IF([11]回答表!F17="下水道事業",IF([11]回答表!AD43="○",[11]回答表!B249,""),"")</f>
        <v/>
      </c>
      <c r="V147" s="107"/>
      <c r="W147" s="107"/>
      <c r="X147" s="107"/>
      <c r="Y147" s="107"/>
      <c r="Z147" s="107"/>
      <c r="AA147" s="107"/>
      <c r="AB147" s="107"/>
      <c r="AC147" s="107"/>
      <c r="AD147" s="107"/>
      <c r="AE147" s="107"/>
      <c r="AF147" s="107"/>
      <c r="AG147" s="107"/>
      <c r="AH147" s="107"/>
      <c r="AI147" s="107"/>
      <c r="AJ147" s="108"/>
      <c r="AK147" s="56"/>
      <c r="AL147" s="56"/>
      <c r="AM147" s="106" t="str">
        <f>IF([11]回答表!F17="下水道事業",IF([11]回答表!AD43="○",[11]回答表!B255,""),"")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IF([11]回答表!BD17="○",IF([11]回答表!X43="○","○",""),"")</f>
        <v/>
      </c>
      <c r="O159" s="98"/>
      <c r="P159" s="98"/>
      <c r="Q159" s="99"/>
      <c r="R159" s="39"/>
      <c r="S159" s="39"/>
      <c r="T159" s="39"/>
      <c r="U159" s="106" t="str">
        <f>IF([11]回答表!BD17="○",IF([11]回答表!X43="○",[11]回答表!B154,IF([11]回答表!AA43="○",[11]回答表!B201,"")),"")</f>
        <v/>
      </c>
      <c r="V159" s="107"/>
      <c r="W159" s="107"/>
      <c r="X159" s="107"/>
      <c r="Y159" s="107"/>
      <c r="Z159" s="107"/>
      <c r="AA159" s="107"/>
      <c r="AB159" s="107"/>
      <c r="AC159" s="107"/>
      <c r="AD159" s="107"/>
      <c r="AE159" s="107"/>
      <c r="AF159" s="107"/>
      <c r="AG159" s="107"/>
      <c r="AH159" s="107"/>
      <c r="AI159" s="107"/>
      <c r="AJ159" s="108"/>
      <c r="AK159" s="50"/>
      <c r="AL159" s="50"/>
      <c r="AM159" s="115" t="str">
        <f>IF([11]回答表!BD17="○",IF([11]回答表!X43="○",[11]回答表!B190,IF([11]回答表!AA43="○",[11]回答表!B238,"")),"")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IF([11]回答表!BD17="○",IF([11]回答表!X43="○",[11]回答表!E190,IF([11]回答表!AA43="○",[11]回答表!E238,"")),"")</f>
        <v/>
      </c>
      <c r="AN162" s="83"/>
      <c r="AO162" s="83"/>
      <c r="AP162" s="83"/>
      <c r="AQ162" s="82" t="str">
        <f>IF([11]回答表!BD17="○",IF([11]回答表!X43="○",[11]回答表!E191,IF([11]回答表!AA43="○",[11]回答表!E239,"")),"")</f>
        <v/>
      </c>
      <c r="AR162" s="83"/>
      <c r="AS162" s="83"/>
      <c r="AT162" s="83"/>
      <c r="AU162" s="82" t="str">
        <f>IF([11]回答表!BD17="○",IF([11]回答表!X43="○",[11]回答表!E192,IF([11]回答表!AA43="○",[11]回答表!E240,"")),"")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IF([11]回答表!BD17="○",IF([11]回答表!AA43="○","○",""),"")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IF([11]回答表!BD17="○",IF([11]回答表!AD43="○","○",""),"")</f>
        <v/>
      </c>
      <c r="O171" s="98"/>
      <c r="P171" s="98"/>
      <c r="Q171" s="99"/>
      <c r="R171" s="39"/>
      <c r="S171" s="39"/>
      <c r="T171" s="39"/>
      <c r="U171" s="106" t="str">
        <f>IF([11]回答表!BD17="○",IF([11]回答表!AD43="○",[11]回答表!B249,""),"")</f>
        <v/>
      </c>
      <c r="V171" s="107"/>
      <c r="W171" s="107"/>
      <c r="X171" s="107"/>
      <c r="Y171" s="107"/>
      <c r="Z171" s="107"/>
      <c r="AA171" s="107"/>
      <c r="AB171" s="107"/>
      <c r="AC171" s="107"/>
      <c r="AD171" s="107"/>
      <c r="AE171" s="107"/>
      <c r="AF171" s="107"/>
      <c r="AG171" s="107"/>
      <c r="AH171" s="107"/>
      <c r="AI171" s="107"/>
      <c r="AJ171" s="108"/>
      <c r="AK171" s="56"/>
      <c r="AL171" s="56"/>
      <c r="AM171" s="106" t="str">
        <f>IF([11]回答表!BD17="○",IF([11]回答表!AD43="○",[11]回答表!B255,""),"")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IF([11]回答表!X44="○","○","")</f>
        <v/>
      </c>
      <c r="O183" s="98"/>
      <c r="P183" s="98"/>
      <c r="Q183" s="99"/>
      <c r="R183" s="39"/>
      <c r="S183" s="39"/>
      <c r="T183" s="39"/>
      <c r="U183" s="106" t="str">
        <f>IF([11]回答表!X44="○",[11]回答表!B266,IF([11]回答表!AA44="○",[11]回答表!B283,""))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IF([11]回答表!X44="○",[11]回答表!U272,IF([11]回答表!AA44="○",[11]回答表!U289,""))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IF([11]回答表!X44="○",[11]回答表!G272,IF([11]回答表!AA44="○",[11]回答表!G289,""))</f>
        <v/>
      </c>
      <c r="AN186" s="119"/>
      <c r="AO186" s="119"/>
      <c r="AP186" s="119"/>
      <c r="AQ186" s="119"/>
      <c r="AR186" s="119"/>
      <c r="AS186" s="119"/>
      <c r="AT186" s="120"/>
      <c r="AU186" s="118" t="str">
        <f>IF([11]回答表!X44="○",[11]回答表!G273,IF([11]回答表!AA44="○",[11]回答表!G290,""))</f>
        <v/>
      </c>
      <c r="AV186" s="119"/>
      <c r="AW186" s="119"/>
      <c r="AX186" s="119"/>
      <c r="AY186" s="119"/>
      <c r="AZ186" s="119"/>
      <c r="BA186" s="119"/>
      <c r="BB186" s="120"/>
      <c r="BC186" s="40"/>
      <c r="BD186" s="35"/>
      <c r="BE186" s="82" t="str">
        <f>IF([11]回答表!X44="○",[11]回答表!X272,IF([11]回答表!AA44="○",[11]回答表!X289,""))</f>
        <v/>
      </c>
      <c r="BF186" s="83"/>
      <c r="BG186" s="83"/>
      <c r="BH186" s="83"/>
      <c r="BI186" s="82" t="str">
        <f>IF([11]回答表!X44="○",[11]回答表!X273,IF([11]回答表!AA44="○",[11]回答表!X290,""))</f>
        <v/>
      </c>
      <c r="BJ186" s="83"/>
      <c r="BK186" s="83"/>
      <c r="BL186" s="86"/>
      <c r="BM186" s="82" t="str">
        <f>IF([11]回答表!X44="○",[11]回答表!X274,IF([11]回答表!AA44="○",[11]回答表!X291,""))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IF([11]回答表!AA44="○","○","")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IF([11]回答表!AD44="○","○","")</f>
        <v/>
      </c>
      <c r="O195" s="98"/>
      <c r="P195" s="98"/>
      <c r="Q195" s="99"/>
      <c r="R195" s="39"/>
      <c r="S195" s="39"/>
      <c r="T195" s="39"/>
      <c r="U195" s="106" t="str">
        <f>IF([11]回答表!AD44="○",[11]回答表!B296,"")</f>
        <v/>
      </c>
      <c r="V195" s="107"/>
      <c r="W195" s="107"/>
      <c r="X195" s="107"/>
      <c r="Y195" s="107"/>
      <c r="Z195" s="107"/>
      <c r="AA195" s="107"/>
      <c r="AB195" s="107"/>
      <c r="AC195" s="107"/>
      <c r="AD195" s="107"/>
      <c r="AE195" s="107"/>
      <c r="AF195" s="107"/>
      <c r="AG195" s="107"/>
      <c r="AH195" s="107"/>
      <c r="AI195" s="107"/>
      <c r="AJ195" s="108"/>
      <c r="AK195" s="61"/>
      <c r="AL195" s="61"/>
      <c r="AM195" s="106" t="str">
        <f>IF([11]回答表!AD44="○",[11]回答表!B302,"")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IF([11]回答表!X45="○","○","")</f>
        <v/>
      </c>
      <c r="O207" s="98"/>
      <c r="P207" s="98"/>
      <c r="Q207" s="99"/>
      <c r="R207" s="39"/>
      <c r="S207" s="39"/>
      <c r="T207" s="39"/>
      <c r="U207" s="106" t="str">
        <f>IF([11]回答表!X45="○",[11]回答表!B314,IF([11]回答表!AA45="○",[11]回答表!B337,""))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IF([11]回答表!X45="○",[11]回答表!B320,"")</f>
        <v/>
      </c>
      <c r="AO207" s="164"/>
      <c r="AP207" s="164"/>
      <c r="AQ207" s="164"/>
      <c r="AR207" s="164"/>
      <c r="AS207" s="164"/>
      <c r="AT207" s="164"/>
      <c r="AU207" s="164"/>
      <c r="AV207" s="164"/>
      <c r="AW207" s="164"/>
      <c r="AX207" s="164"/>
      <c r="AY207" s="164"/>
      <c r="AZ207" s="164"/>
      <c r="BA207" s="164"/>
      <c r="BB207" s="165"/>
      <c r="BC207" s="40"/>
      <c r="BD207" s="35"/>
      <c r="BE207" s="115" t="str">
        <f>IF([11]回答表!X45="○",[11]回答表!B326,IF([11]回答表!AA45="○",[11]回答表!B343,""))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IF([11]回答表!X45="○",[11]回答表!E326,IF([11]回答表!AA45="○",[11]回答表!E343,""))</f>
        <v/>
      </c>
      <c r="BF210" s="83"/>
      <c r="BG210" s="83"/>
      <c r="BH210" s="83"/>
      <c r="BI210" s="82" t="str">
        <f>IF([11]回答表!X45="○",[11]回答表!E327,IF([11]回答表!AA45="○",[11]回答表!E344,""))</f>
        <v/>
      </c>
      <c r="BJ210" s="83"/>
      <c r="BK210" s="83"/>
      <c r="BL210" s="86"/>
      <c r="BM210" s="82" t="str">
        <f>IF([11]回答表!X45="○",[11]回答表!E328,IF([11]回答表!AA45="○",[11]回答表!E345,""))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IF([11]回答表!AA45="○","○","")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IF([11]回答表!AD45="○","○","")</f>
        <v/>
      </c>
      <c r="O219" s="98"/>
      <c r="P219" s="98"/>
      <c r="Q219" s="99"/>
      <c r="R219" s="39"/>
      <c r="S219" s="39"/>
      <c r="T219" s="39"/>
      <c r="U219" s="106" t="str">
        <f>IF([11]回答表!AD45="○",[11]回答表!B350,"")</f>
        <v/>
      </c>
      <c r="V219" s="107"/>
      <c r="W219" s="107"/>
      <c r="X219" s="107"/>
      <c r="Y219" s="107"/>
      <c r="Z219" s="107"/>
      <c r="AA219" s="107"/>
      <c r="AB219" s="107"/>
      <c r="AC219" s="107"/>
      <c r="AD219" s="107"/>
      <c r="AE219" s="107"/>
      <c r="AF219" s="107"/>
      <c r="AG219" s="107"/>
      <c r="AH219" s="107"/>
      <c r="AI219" s="107"/>
      <c r="AJ219" s="108"/>
      <c r="AK219" s="61"/>
      <c r="AL219" s="61"/>
      <c r="AM219" s="106" t="str">
        <f>IF([11]回答表!AD45="○",[11]回答表!B356,"")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IF([11]回答表!X46="○","○","")</f>
        <v/>
      </c>
      <c r="O231" s="98"/>
      <c r="P231" s="98"/>
      <c r="Q231" s="99"/>
      <c r="R231" s="39"/>
      <c r="S231" s="39"/>
      <c r="T231" s="39"/>
      <c r="U231" s="106" t="str">
        <f>IF([11]回答表!X46="○",[11]回答表!B368,IF([11]回答表!AA46="○",[11]回答表!B382,""))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IF([11]回答表!X46="○",[11]回答表!BC375,IF([11]回答表!AA46="○",[11]回答表!BC389,""))</f>
        <v/>
      </c>
      <c r="AR231" s="150"/>
      <c r="AS231" s="150"/>
      <c r="AT231" s="150"/>
      <c r="AU231" s="155" t="s">
        <v>63</v>
      </c>
      <c r="AV231" s="156"/>
      <c r="AW231" s="156"/>
      <c r="AX231" s="157"/>
      <c r="AY231" s="150" t="str">
        <f>IF([11]回答表!X46="○",[11]回答表!BC380,IF([11]回答表!AA46="○",[11]回答表!BC394,""))</f>
        <v/>
      </c>
      <c r="AZ231" s="150"/>
      <c r="BA231" s="150"/>
      <c r="BB231" s="150"/>
      <c r="BC231" s="40"/>
      <c r="BD231" s="35"/>
      <c r="BE231" s="115" t="str">
        <f>IF([11]回答表!X46="○",[11]回答表!S374,IF([11]回答表!AA46="○",[11]回答表!S388,""))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IF([11]回答表!X46="○",[11]回答表!BC376,IF([11]回答表!AA46="○",[11]回答表!BC390,""))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IF([11]回答表!X46="○",[11]回答表!V374,IF([11]回答表!AA46="○",[11]回答表!V388,""))</f>
        <v/>
      </c>
      <c r="BF234" s="83"/>
      <c r="BG234" s="83"/>
      <c r="BH234" s="83"/>
      <c r="BI234" s="82" t="str">
        <f>IF([11]回答表!X46="○",[11]回答表!V375,IF([11]回答表!AA46="○",[11]回答表!V389,""))</f>
        <v/>
      </c>
      <c r="BJ234" s="83"/>
      <c r="BK234" s="83"/>
      <c r="BL234" s="86"/>
      <c r="BM234" s="82" t="str">
        <f>IF([11]回答表!X46="○",[11]回答表!V376,IF([11]回答表!AA46="○",[11]回答表!V390,""))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IF([11]回答表!X46="○",[11]回答表!BC377,IF([11]回答表!AA46="○",[11]回答表!BC391,""))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IF([11]回答表!X46="○",[11]回答表!BC381,IF([11]回答表!AA46="○",[11]回答表!BC395,""))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IF([11]回答表!AA46="○","○","")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IF([11]回答表!X46="○",[11]回答表!BC378,IF([11]回答表!AA46="○",[11]回答表!BC392,""))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IF([11]回答表!X46="○",[11]回答表!BC379,IF([11]回答表!AA46="○",[11]回答表!BC393,""))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IF([11]回答表!AD46="○","○","")</f>
        <v/>
      </c>
      <c r="O243" s="98"/>
      <c r="P243" s="98"/>
      <c r="Q243" s="99"/>
      <c r="R243" s="39"/>
      <c r="S243" s="39"/>
      <c r="T243" s="39"/>
      <c r="U243" s="106" t="str">
        <f>IF([11]回答表!AD46="○",[11]回答表!B396,"")</f>
        <v/>
      </c>
      <c r="V243" s="107"/>
      <c r="W243" s="107"/>
      <c r="X243" s="107"/>
      <c r="Y243" s="107"/>
      <c r="Z243" s="107"/>
      <c r="AA243" s="107"/>
      <c r="AB243" s="107"/>
      <c r="AC243" s="107"/>
      <c r="AD243" s="107"/>
      <c r="AE243" s="107"/>
      <c r="AF243" s="107"/>
      <c r="AG243" s="107"/>
      <c r="AH243" s="107"/>
      <c r="AI243" s="107"/>
      <c r="AJ243" s="108"/>
      <c r="AK243" s="56"/>
      <c r="AL243" s="56"/>
      <c r="AM243" s="106" t="str">
        <f>IF([11]回答表!AD46="○",[11]回答表!B402,"")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IF([11]回答表!X47="○","○","")</f>
        <v/>
      </c>
      <c r="O254" s="98"/>
      <c r="P254" s="98"/>
      <c r="Q254" s="99"/>
      <c r="R254" s="39"/>
      <c r="S254" s="39"/>
      <c r="T254" s="39"/>
      <c r="U254" s="106" t="str">
        <f>IF([11]回答表!X47="○",[11]回答表!B414,IF([11]回答表!AA47="○",[11]回答表!B431,""))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IF([11]回答表!X47="○",[11]回答表!B424,IF([11]回答表!AA47="○",[11]回答表!B441,""))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IF([11]回答表!X47="○",[11]回答表!G420,IF([11]回答表!AA47="○",[11]回答表!G437,""))</f>
        <v/>
      </c>
      <c r="AN256" s="119"/>
      <c r="AO256" s="119"/>
      <c r="AP256" s="119"/>
      <c r="AQ256" s="119"/>
      <c r="AR256" s="119"/>
      <c r="AS256" s="119"/>
      <c r="AT256" s="120"/>
      <c r="AU256" s="118" t="str">
        <f>IF([11]回答表!X47="○",[11]回答表!G421,IF([11]回答表!AA47="○",[11]回答表!G438,""))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IF([11]回答表!X47="○",[11]回答表!E424,IF([11]回答表!AA47="○",[11]回答表!E441,""))</f>
        <v/>
      </c>
      <c r="BF257" s="83"/>
      <c r="BG257" s="83"/>
      <c r="BH257" s="83"/>
      <c r="BI257" s="82" t="str">
        <f>IF([11]回答表!X47="○",[11]回答表!E425,IF([11]回答表!AA47="○",[11]回答表!E442,""))</f>
        <v/>
      </c>
      <c r="BJ257" s="83"/>
      <c r="BK257" s="83"/>
      <c r="BL257" s="86"/>
      <c r="BM257" s="82" t="str">
        <f>IF([11]回答表!X47="○",[11]回答表!E426,IF([11]回答表!AA47="○",[11]回答表!E443,""))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IF([11]回答表!AA47="○","○","")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IF([11]回答表!AD47="○","○","")</f>
        <v/>
      </c>
      <c r="O266" s="98"/>
      <c r="P266" s="98"/>
      <c r="Q266" s="99"/>
      <c r="R266" s="39"/>
      <c r="S266" s="39"/>
      <c r="T266" s="39"/>
      <c r="U266" s="106" t="str">
        <f>IF([11]回答表!AD47="○",[11]回答表!B448,"")</f>
        <v/>
      </c>
      <c r="V266" s="107"/>
      <c r="W266" s="107"/>
      <c r="X266" s="107"/>
      <c r="Y266" s="107"/>
      <c r="Z266" s="107"/>
      <c r="AA266" s="107"/>
      <c r="AB266" s="107"/>
      <c r="AC266" s="107"/>
      <c r="AD266" s="107"/>
      <c r="AE266" s="107"/>
      <c r="AF266" s="107"/>
      <c r="AG266" s="107"/>
      <c r="AH266" s="107"/>
      <c r="AI266" s="107"/>
      <c r="AJ266" s="108"/>
      <c r="AK266" s="50"/>
      <c r="AL266" s="50"/>
      <c r="AM266" s="106" t="str">
        <f>IF([11]回答表!AD47="○",[11]回答表!B454,"")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IF([11]回答表!R48="○",[11]回答表!B467,"")</f>
        <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6B92-1708-4ED3-B6EE-3EEACA7D7800}">
  <sheetPr>
    <pageSetUpPr fitToPage="1"/>
  </sheetPr>
  <dimension ref="A1:CE298"/>
  <sheetViews>
    <sheetView showZeros="0" zoomScale="55" zoomScaleNormal="55" workbookViewId="0">
      <selection activeCell="BT30" sqref="BT30"/>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IF(COUNTIF([7]回答表!K15,"*")&gt;0,[7]回答表!K15,"")</f>
        <v>横手市</v>
      </c>
      <c r="D11" s="246"/>
      <c r="E11" s="246"/>
      <c r="F11" s="246"/>
      <c r="G11" s="246"/>
      <c r="H11" s="246"/>
      <c r="I11" s="246"/>
      <c r="J11" s="246"/>
      <c r="K11" s="246"/>
      <c r="L11" s="246"/>
      <c r="M11" s="246"/>
      <c r="N11" s="246"/>
      <c r="O11" s="246"/>
      <c r="P11" s="246"/>
      <c r="Q11" s="246"/>
      <c r="R11" s="246"/>
      <c r="S11" s="246"/>
      <c r="T11" s="246"/>
      <c r="U11" s="253" t="str">
        <f>IF(COUNTIF([7]回答表!F17,"*")&gt;0,[7]回答表!F17,"")</f>
        <v>介護サービス事業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IF(COUNTIF([7]回答表!W17,"*")&gt;0,[7]回答表!W17,"")</f>
        <v>指定介護老人福祉施設</v>
      </c>
      <c r="AP11" s="248"/>
      <c r="AQ11" s="248"/>
      <c r="AR11" s="248"/>
      <c r="AS11" s="248"/>
      <c r="AT11" s="248"/>
      <c r="AU11" s="248"/>
      <c r="AV11" s="248"/>
      <c r="AW11" s="248"/>
      <c r="AX11" s="248"/>
      <c r="AY11" s="248"/>
      <c r="AZ11" s="248"/>
      <c r="BA11" s="248"/>
      <c r="BB11" s="248"/>
      <c r="BC11" s="248"/>
      <c r="BD11" s="248"/>
      <c r="BE11" s="249"/>
      <c r="BF11" s="252" t="str">
        <f>IF(COUNTIF([7]回答表!F19,"*")&gt;0,[7]回答表!F19,"")</f>
        <v>市営介護サービス事業特別会計</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IF([7]回答表!R41="○","○","")</f>
        <v/>
      </c>
      <c r="E24" s="122"/>
      <c r="F24" s="122"/>
      <c r="G24" s="122"/>
      <c r="H24" s="122"/>
      <c r="I24" s="122"/>
      <c r="J24" s="123"/>
      <c r="K24" s="121" t="str">
        <f>IF([7]回答表!R42="○","○","")</f>
        <v/>
      </c>
      <c r="L24" s="122"/>
      <c r="M24" s="122"/>
      <c r="N24" s="122"/>
      <c r="O24" s="122"/>
      <c r="P24" s="122"/>
      <c r="Q24" s="123"/>
      <c r="R24" s="121" t="str">
        <f>IF([7]回答表!R43="○","○","")</f>
        <v/>
      </c>
      <c r="S24" s="122"/>
      <c r="T24" s="122"/>
      <c r="U24" s="122"/>
      <c r="V24" s="122"/>
      <c r="W24" s="122"/>
      <c r="X24" s="123"/>
      <c r="Y24" s="121" t="str">
        <f>IF([7]回答表!R44="○","○","")</f>
        <v/>
      </c>
      <c r="Z24" s="122"/>
      <c r="AA24" s="122"/>
      <c r="AB24" s="122"/>
      <c r="AC24" s="122"/>
      <c r="AD24" s="122"/>
      <c r="AE24" s="123"/>
      <c r="AF24" s="121" t="str">
        <f>IF([7]回答表!R45="○","○","")</f>
        <v/>
      </c>
      <c r="AG24" s="122"/>
      <c r="AH24" s="122"/>
      <c r="AI24" s="122"/>
      <c r="AJ24" s="122"/>
      <c r="AK24" s="122"/>
      <c r="AL24" s="123"/>
      <c r="AM24" s="121" t="str">
        <f>IF([7]回答表!R46="○","○","")</f>
        <v/>
      </c>
      <c r="AN24" s="122"/>
      <c r="AO24" s="122"/>
      <c r="AP24" s="122"/>
      <c r="AQ24" s="122"/>
      <c r="AR24" s="122"/>
      <c r="AS24" s="123"/>
      <c r="AT24" s="121" t="str">
        <f>IF([7]回答表!R47="○","○","")</f>
        <v/>
      </c>
      <c r="AU24" s="122"/>
      <c r="AV24" s="122"/>
      <c r="AW24" s="122"/>
      <c r="AX24" s="122"/>
      <c r="AY24" s="122"/>
      <c r="AZ24" s="123"/>
      <c r="BA24" s="19"/>
      <c r="BB24" s="118" t="str">
        <f>IF([7]回答表!R48="○","○","")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IF([7]回答表!X41="○","○","")</f>
        <v/>
      </c>
      <c r="O36" s="98"/>
      <c r="P36" s="98"/>
      <c r="Q36" s="99"/>
      <c r="R36" s="39"/>
      <c r="S36" s="39"/>
      <c r="T36" s="39"/>
      <c r="U36" s="106" t="str">
        <f>IF([7]回答表!X41="○",[7]回答表!B56,IF([7]回答表!AA41="○",[7]回答表!B76,""))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IF([7]回答表!X41="○",[7]回答表!S62,IF([7]回答表!AA41="○",[7]回答表!S82,""))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IF([7]回答表!X41="○",[7]回答表!G62,IF([7]回答表!AA41="○",[7]回答表!G82,""))</f>
        <v/>
      </c>
      <c r="AN38" s="119"/>
      <c r="AO38" s="119"/>
      <c r="AP38" s="119"/>
      <c r="AQ38" s="119"/>
      <c r="AR38" s="119"/>
      <c r="AS38" s="119"/>
      <c r="AT38" s="120"/>
      <c r="AU38" s="118" t="str">
        <f>IF([7]回答表!X41="○",[7]回答表!G63,IF([7]回答表!AA41="○",[7]回答表!G83,""))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IF([7]回答表!X41="○",[7]回答表!V62,IF([7]回答表!AA41="○",[7]回答表!V82,""))</f>
        <v/>
      </c>
      <c r="BF39" s="199"/>
      <c r="BG39" s="199"/>
      <c r="BH39" s="200"/>
      <c r="BI39" s="82" t="str">
        <f>IF([7]回答表!X41="○",[7]回答表!V63,IF([7]回答表!AA41="○",[7]回答表!V83,""))</f>
        <v/>
      </c>
      <c r="BJ39" s="199"/>
      <c r="BK39" s="199"/>
      <c r="BL39" s="200"/>
      <c r="BM39" s="82" t="str">
        <f>IF([7]回答表!X41="○",[7]回答表!V64,IF([7]回答表!AA41="○",[7]回答表!V84,""))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IF([7]回答表!X41="○",[7]回答表!O68,IF([7]回答表!AA41="○",[7]回答表!O88,""))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IF([7]回答表!X41="○",[7]回答表!O69,IF([7]回答表!AA41="○",[7]回答表!O89,""))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IF([7]回答表!AA41="○","○","")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IF([7]回答表!X41="○",[7]回答表!O70,IF([7]回答表!AA41="○",[7]回答表!O90,""))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IF([7]回答表!X41="○",[7]回答表!O71,IF([7]回答表!AA41="○",[7]回答表!O91,""))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IF([7]回答表!X41="○",[7]回答表!AG68,IF([7]回答表!AA41="○",[7]回答表!AG88,""))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IF([7]回答表!X41="○",[7]回答表!AG69,IF([7]回答表!AA41="○",[7]回答表!AG89,""))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IF([7]回答表!X41="○",[7]回答表!AG70,IF([7]回答表!AA41="○",[7]回答表!AG90,""))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IF([7]回答表!AD41="○","○","")</f>
        <v/>
      </c>
      <c r="O52" s="98"/>
      <c r="P52" s="98"/>
      <c r="Q52" s="99"/>
      <c r="R52" s="39"/>
      <c r="S52" s="39"/>
      <c r="T52" s="39"/>
      <c r="U52" s="106" t="str">
        <f>IF([7]回答表!AD41="○",[7]回答表!B96,"")</f>
        <v/>
      </c>
      <c r="V52" s="107"/>
      <c r="W52" s="107"/>
      <c r="X52" s="107"/>
      <c r="Y52" s="107"/>
      <c r="Z52" s="107"/>
      <c r="AA52" s="107"/>
      <c r="AB52" s="107"/>
      <c r="AC52" s="107"/>
      <c r="AD52" s="107"/>
      <c r="AE52" s="107"/>
      <c r="AF52" s="107"/>
      <c r="AG52" s="107"/>
      <c r="AH52" s="107"/>
      <c r="AI52" s="107"/>
      <c r="AJ52" s="108"/>
      <c r="AK52" s="56"/>
      <c r="AL52" s="56"/>
      <c r="AM52" s="106" t="str">
        <f>IF([7]回答表!AD41="○",[7]回答表!B101,"")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IF([7]回答表!X42="○","○","")</f>
        <v/>
      </c>
      <c r="O63" s="98"/>
      <c r="P63" s="98"/>
      <c r="Q63" s="99"/>
      <c r="R63" s="39"/>
      <c r="S63" s="39"/>
      <c r="T63" s="39"/>
      <c r="U63" s="106" t="str">
        <f>IF([7]回答表!X42="○",[7]回答表!B111,IF([7]回答表!AA42="○",[7]回答表!B124,""))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IF([7]回答表!X42="○",[7]回答表!S117,IF([7]回答表!AA42="○",[7]回答表!S130,""))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IF([7]回答表!X42="○",[7]回答表!J117,IF([7]回答表!AA42="○",[7]回答表!J130,""))</f>
        <v/>
      </c>
      <c r="AN66" s="119"/>
      <c r="AO66" s="119"/>
      <c r="AP66" s="119"/>
      <c r="AQ66" s="119"/>
      <c r="AR66" s="119"/>
      <c r="AS66" s="119"/>
      <c r="AT66" s="120"/>
      <c r="AU66" s="118" t="str">
        <f>IF([7]回答表!X42="○",[7]回答表!J118,IF([7]回答表!AA42="○",[7]回答表!J131,""))</f>
        <v/>
      </c>
      <c r="AV66" s="119"/>
      <c r="AW66" s="119"/>
      <c r="AX66" s="119"/>
      <c r="AY66" s="119"/>
      <c r="AZ66" s="119"/>
      <c r="BA66" s="119"/>
      <c r="BB66" s="120"/>
      <c r="BC66" s="40"/>
      <c r="BD66" s="35"/>
      <c r="BE66" s="82" t="str">
        <f>IF([7]回答表!X42="○",[7]回答表!V117,IF([7]回答表!AA42="○",[7]回答表!V130,""))</f>
        <v/>
      </c>
      <c r="BF66" s="83"/>
      <c r="BG66" s="83"/>
      <c r="BH66" s="83"/>
      <c r="BI66" s="82" t="str">
        <f>IF([7]回答表!X42="○",[7]回答表!V118,IF([7]回答表!AA42="○",[7]回答表!V131,""))</f>
        <v/>
      </c>
      <c r="BJ66" s="83"/>
      <c r="BK66" s="83"/>
      <c r="BL66" s="83"/>
      <c r="BM66" s="82" t="str">
        <f>IF([7]回答表!X42="○",[7]回答表!V119,IF([7]回答表!AA42="○",[7]回答表!V132,""))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IF([7]回答表!AA42="○","○","")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IF([7]回答表!AD42="○","○","")</f>
        <v/>
      </c>
      <c r="O75" s="98"/>
      <c r="P75" s="98"/>
      <c r="Q75" s="99"/>
      <c r="R75" s="39"/>
      <c r="S75" s="39"/>
      <c r="T75" s="39"/>
      <c r="U75" s="106" t="str">
        <f>IF([7]回答表!AD42="○",[7]回答表!B137,"")</f>
        <v/>
      </c>
      <c r="V75" s="107"/>
      <c r="W75" s="107"/>
      <c r="X75" s="107"/>
      <c r="Y75" s="107"/>
      <c r="Z75" s="107"/>
      <c r="AA75" s="107"/>
      <c r="AB75" s="107"/>
      <c r="AC75" s="107"/>
      <c r="AD75" s="107"/>
      <c r="AE75" s="107"/>
      <c r="AF75" s="107"/>
      <c r="AG75" s="107"/>
      <c r="AH75" s="107"/>
      <c r="AI75" s="107"/>
      <c r="AJ75" s="108"/>
      <c r="AK75" s="56"/>
      <c r="AL75" s="56"/>
      <c r="AM75" s="106" t="str">
        <f>IF([7]回答表!AD42="○",[7]回答表!B143,"")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IF([7]回答表!F17="水道事業",IF([7]回答表!X43="○","○",""),"")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IF([7]回答表!F17="水道事業",IF([7]回答表!X43="○",[7]回答表!B154,IF([7]回答表!AA43="○",[7]回答表!B201,"")),"")</f>
        <v/>
      </c>
      <c r="AN87" s="107"/>
      <c r="AO87" s="107"/>
      <c r="AP87" s="107"/>
      <c r="AQ87" s="107"/>
      <c r="AR87" s="107"/>
      <c r="AS87" s="107"/>
      <c r="AT87" s="107"/>
      <c r="AU87" s="107"/>
      <c r="AV87" s="107"/>
      <c r="AW87" s="107"/>
      <c r="AX87" s="107"/>
      <c r="AY87" s="107"/>
      <c r="AZ87" s="107"/>
      <c r="BA87" s="107"/>
      <c r="BB87" s="108"/>
      <c r="BC87" s="40"/>
      <c r="BD87" s="35"/>
      <c r="BE87" s="115" t="str">
        <f>IF([7]回答表!F17="水道事業",IF([7]回答表!X43="○",[7]回答表!B190,IF([7]回答表!AA43="○",[7]回答表!B238,"")),"")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IF([7]回答表!F17="水道事業",IF([7]回答表!X43="○",[7]回答表!J162,IF([7]回答表!AA43="○",[7]回答表!J209,"")),"")</f>
        <v/>
      </c>
      <c r="V89" s="119"/>
      <c r="W89" s="119"/>
      <c r="X89" s="119"/>
      <c r="Y89" s="119"/>
      <c r="Z89" s="119"/>
      <c r="AA89" s="119"/>
      <c r="AB89" s="120"/>
      <c r="AC89" s="118" t="str">
        <f>IF([7]回答表!F17="水道事業",IF([7]回答表!X43="○",[7]回答表!J169,IF([7]回答表!AA43="○",[7]回答表!J216,"")),"")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IF([7]回答表!F17="水道事業",IF([7]回答表!X43="○",[7]回答表!E190,IF([7]回答表!AA43="○",[7]回答表!E238,"")),"")</f>
        <v/>
      </c>
      <c r="BF90" s="83"/>
      <c r="BG90" s="83"/>
      <c r="BH90" s="83"/>
      <c r="BI90" s="82" t="str">
        <f>IF([7]回答表!F17="水道事業",IF([7]回答表!X43="○",[7]回答表!E191,IF([7]回答表!AA43="○",[7]回答表!E239,"")),"")</f>
        <v/>
      </c>
      <c r="BJ90" s="83"/>
      <c r="BK90" s="83"/>
      <c r="BL90" s="83"/>
      <c r="BM90" s="82" t="str">
        <f>IF([7]回答表!F17="水道事業",IF([7]回答表!X43="○",[7]回答表!E192,IF([7]回答表!AA43="○",[7]回答表!E240,"")),"")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IF([7]回答表!F17="水道事業",IF([7]回答表!AA43="○","○",""),"")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IF([7]回答表!F17="水道事業",IF([7]回答表!X43="○",[7]回答表!J172,IF([7]回答表!AA43="○",[7]回答表!J219,"")),"")</f>
        <v/>
      </c>
      <c r="V94" s="119"/>
      <c r="W94" s="119"/>
      <c r="X94" s="119"/>
      <c r="Y94" s="119"/>
      <c r="Z94" s="119"/>
      <c r="AA94" s="119"/>
      <c r="AB94" s="120"/>
      <c r="AC94" s="118" t="str">
        <f>IF([7]回答表!F17="水道事業",IF([7]回答表!X43="○",[7]回答表!J176,IF([7]回答表!AA43="○",[7]回答表!J223,"")),"")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IF([7]回答表!F17="水道事業",IF([7]回答表!AD43="○","○",""),"")</f>
        <v/>
      </c>
      <c r="O99" s="98"/>
      <c r="P99" s="98"/>
      <c r="Q99" s="99"/>
      <c r="R99" s="39"/>
      <c r="S99" s="39"/>
      <c r="T99" s="39"/>
      <c r="U99" s="106" t="str">
        <f>IF([7]回答表!F17="水道事業",IF([7]回答表!AD43="○",[7]回答表!B249,""),"")</f>
        <v/>
      </c>
      <c r="V99" s="107"/>
      <c r="W99" s="107"/>
      <c r="X99" s="107"/>
      <c r="Y99" s="107"/>
      <c r="Z99" s="107"/>
      <c r="AA99" s="107"/>
      <c r="AB99" s="107"/>
      <c r="AC99" s="107"/>
      <c r="AD99" s="107"/>
      <c r="AE99" s="107"/>
      <c r="AF99" s="107"/>
      <c r="AG99" s="107"/>
      <c r="AH99" s="107"/>
      <c r="AI99" s="107"/>
      <c r="AJ99" s="108"/>
      <c r="AK99" s="56"/>
      <c r="AL99" s="56"/>
      <c r="AM99" s="106" t="str">
        <f>IF([7]回答表!F17="水道事業",IF([7]回答表!AD43="○",[7]回答表!B255,""),"")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IF([7]回答表!F17="簡易水道事業",IF([7]回答表!X43="○","○",""),"")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IF([7]回答表!F17="簡易水道事業",IF([7]回答表!X43="○",[7]回答表!B154,IF([7]回答表!AA43="○",[7]回答表!B201,"")),"")</f>
        <v/>
      </c>
      <c r="AN111" s="107"/>
      <c r="AO111" s="107"/>
      <c r="AP111" s="107"/>
      <c r="AQ111" s="107"/>
      <c r="AR111" s="107"/>
      <c r="AS111" s="107"/>
      <c r="AT111" s="107"/>
      <c r="AU111" s="107"/>
      <c r="AV111" s="107"/>
      <c r="AW111" s="107"/>
      <c r="AX111" s="107"/>
      <c r="AY111" s="107"/>
      <c r="AZ111" s="107"/>
      <c r="BA111" s="107"/>
      <c r="BB111" s="108"/>
      <c r="BC111" s="40"/>
      <c r="BD111" s="35"/>
      <c r="BE111" s="115" t="str">
        <f>IF([7]回答表!F17="簡易水道事業",IF([7]回答表!X43="○",[7]回答表!B190,IF([7]回答表!AA43="○",[7]回答表!B238,"")),"")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IF([7]回答表!F17="簡易水道事業",IF([7]回答表!X43="○",[7]回答表!Y181,IF([7]回答表!AA43="○",[7]回答表!Y229,"")),"")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IF([7]回答表!F17="簡易水道事業",IF([7]回答表!X43="○",[7]回答表!E190,IF([7]回答表!AA43="○",[7]回答表!E238,"")),"")</f>
        <v/>
      </c>
      <c r="BF114" s="83"/>
      <c r="BG114" s="83"/>
      <c r="BH114" s="83"/>
      <c r="BI114" s="82" t="str">
        <f>IF([7]回答表!F17="簡易水道事業",IF([7]回答表!X43="○",[7]回答表!E191,IF([7]回答表!AA43="○",[7]回答表!E239,"")),"")</f>
        <v/>
      </c>
      <c r="BJ114" s="83"/>
      <c r="BK114" s="83"/>
      <c r="BL114" s="83"/>
      <c r="BM114" s="82" t="str">
        <f>IF([7]回答表!F17="簡易水道事業",IF([7]回答表!X43="○",[7]回答表!E192,IF([7]回答表!AA43="○",[7]回答表!E240,"")),"")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IF([7]回答表!F17="簡易水道事業",IF([7]回答表!AA43="○","○",""),"")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IF([7]回答表!F17="簡易水道事業",IF([7]回答表!X43="○",[7]回答表!Y182,IF([7]回答表!AA43="○",[7]回答表!Y230,"")),"")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IF([7]回答表!F17="簡易水道事業",IF([7]回答表!AD43="○","○",""),"")</f>
        <v/>
      </c>
      <c r="O123" s="98"/>
      <c r="P123" s="98"/>
      <c r="Q123" s="99"/>
      <c r="R123" s="39"/>
      <c r="S123" s="39"/>
      <c r="T123" s="39"/>
      <c r="U123" s="106" t="str">
        <f>IF([7]回答表!F17="簡易水道事業",IF([7]回答表!AD43="○",[7]回答表!B249,""),"")</f>
        <v/>
      </c>
      <c r="V123" s="107"/>
      <c r="W123" s="107"/>
      <c r="X123" s="107"/>
      <c r="Y123" s="107"/>
      <c r="Z123" s="107"/>
      <c r="AA123" s="107"/>
      <c r="AB123" s="107"/>
      <c r="AC123" s="107"/>
      <c r="AD123" s="107"/>
      <c r="AE123" s="107"/>
      <c r="AF123" s="107"/>
      <c r="AG123" s="107"/>
      <c r="AH123" s="107"/>
      <c r="AI123" s="107"/>
      <c r="AJ123" s="108"/>
      <c r="AK123" s="56"/>
      <c r="AL123" s="56"/>
      <c r="AM123" s="106" t="str">
        <f>IF([7]回答表!F17="簡易水道事業",IF([7]回答表!AD43="○",[7]回答表!B255,""),"")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IF([7]回答表!F17="下水道事業",IF([7]回答表!X43="○","○",""),"")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IF([7]回答表!F17="下水道事業",IF([7]回答表!X43="○",[7]回答表!B154,IF([7]回答表!AA43="○",[7]回答表!B201,"")),"")</f>
        <v/>
      </c>
      <c r="AN135" s="107"/>
      <c r="AO135" s="107"/>
      <c r="AP135" s="107"/>
      <c r="AQ135" s="107"/>
      <c r="AR135" s="107"/>
      <c r="AS135" s="107"/>
      <c r="AT135" s="107"/>
      <c r="AU135" s="107"/>
      <c r="AV135" s="107"/>
      <c r="AW135" s="107"/>
      <c r="AX135" s="107"/>
      <c r="AY135" s="107"/>
      <c r="AZ135" s="107"/>
      <c r="BA135" s="107"/>
      <c r="BB135" s="108"/>
      <c r="BC135" s="40"/>
      <c r="BD135" s="35"/>
      <c r="BE135" s="115" t="str">
        <f>IF([7]回答表!F17="下水道事業",IF([7]回答表!X43="○",[7]回答表!B190,IF([7]回答表!AA43="○",[7]回答表!B238,"")),"")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IF([7]回答表!F17="下水道事業",IF([7]回答表!X43="○",[7]回答表!Y184,IF([7]回答表!AA43="○",[7]回答表!Y232,"")),"")</f>
        <v/>
      </c>
      <c r="V137" s="119"/>
      <c r="W137" s="119"/>
      <c r="X137" s="119"/>
      <c r="Y137" s="119"/>
      <c r="Z137" s="119"/>
      <c r="AA137" s="119"/>
      <c r="AB137" s="120"/>
      <c r="AC137" s="118" t="str">
        <f>IF([7]回答表!F17="下水道事業",IF([7]回答表!X43="○",[7]回答表!Y185,IF([7]回答表!AA43="○",[7]回答表!Y233,"")),"")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IF([7]回答表!F17="下水道事業",IF([7]回答表!X43="○",[7]回答表!E190,IF([7]回答表!AA43="○",[7]回答表!E238,"")),"")</f>
        <v/>
      </c>
      <c r="BF138" s="83"/>
      <c r="BG138" s="83"/>
      <c r="BH138" s="83"/>
      <c r="BI138" s="82" t="str">
        <f>IF([7]回答表!F17="下水道事業",IF([7]回答表!X43="○",[7]回答表!E191,IF([7]回答表!AA43="○",[7]回答表!E239,"")),"")</f>
        <v/>
      </c>
      <c r="BJ138" s="83"/>
      <c r="BK138" s="83"/>
      <c r="BL138" s="83"/>
      <c r="BM138" s="82" t="str">
        <f>IF([7]回答表!F17="下水道事業",IF([7]回答表!X43="○",[7]回答表!E192,IF([7]回答表!AA43="○",[7]回答表!E240,"")),"")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IF([7]回答表!F17="下水道事業",IF([7]回答表!AA43="○","○",""),"")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IF([7]回答表!F17="下水道事業",IF([7]回答表!X43="○",[7]回答表!Y186,IF([7]回答表!AA43="○",[7]回答表!Y234,"")),"")</f>
        <v/>
      </c>
      <c r="V142" s="119"/>
      <c r="W142" s="119"/>
      <c r="X142" s="119"/>
      <c r="Y142" s="119"/>
      <c r="Z142" s="119"/>
      <c r="AA142" s="119"/>
      <c r="AB142" s="120"/>
      <c r="AC142" s="118" t="str">
        <f>IF([7]回答表!F17="下水道事業",IF([7]回答表!X43="○",[7]回答表!Y187,IF([7]回答表!AA43="○",[7]回答表!Y235,"")),"")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IF([7]回答表!F17="下水道事業",IF([7]回答表!AD43="○","○",""),"")</f>
        <v/>
      </c>
      <c r="O147" s="98"/>
      <c r="P147" s="98"/>
      <c r="Q147" s="99"/>
      <c r="R147" s="39"/>
      <c r="S147" s="39"/>
      <c r="T147" s="39"/>
      <c r="U147" s="106" t="str">
        <f>IF([7]回答表!F17="下水道事業",IF([7]回答表!AD43="○",[7]回答表!B249,""),"")</f>
        <v/>
      </c>
      <c r="V147" s="107"/>
      <c r="W147" s="107"/>
      <c r="X147" s="107"/>
      <c r="Y147" s="107"/>
      <c r="Z147" s="107"/>
      <c r="AA147" s="107"/>
      <c r="AB147" s="107"/>
      <c r="AC147" s="107"/>
      <c r="AD147" s="107"/>
      <c r="AE147" s="107"/>
      <c r="AF147" s="107"/>
      <c r="AG147" s="107"/>
      <c r="AH147" s="107"/>
      <c r="AI147" s="107"/>
      <c r="AJ147" s="108"/>
      <c r="AK147" s="56"/>
      <c r="AL147" s="56"/>
      <c r="AM147" s="106" t="str">
        <f>IF([7]回答表!F17="下水道事業",IF([7]回答表!AD43="○",[7]回答表!B255,""),"")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IF([7]回答表!BD17="○",IF([7]回答表!X43="○","○",""),"")</f>
        <v/>
      </c>
      <c r="O159" s="98"/>
      <c r="P159" s="98"/>
      <c r="Q159" s="99"/>
      <c r="R159" s="39"/>
      <c r="S159" s="39"/>
      <c r="T159" s="39"/>
      <c r="U159" s="106" t="str">
        <f>IF([7]回答表!BD17="○",IF([7]回答表!X43="○",[7]回答表!B154,IF([7]回答表!AA43="○",[7]回答表!B201,"")),"")</f>
        <v/>
      </c>
      <c r="V159" s="107"/>
      <c r="W159" s="107"/>
      <c r="X159" s="107"/>
      <c r="Y159" s="107"/>
      <c r="Z159" s="107"/>
      <c r="AA159" s="107"/>
      <c r="AB159" s="107"/>
      <c r="AC159" s="107"/>
      <c r="AD159" s="107"/>
      <c r="AE159" s="107"/>
      <c r="AF159" s="107"/>
      <c r="AG159" s="107"/>
      <c r="AH159" s="107"/>
      <c r="AI159" s="107"/>
      <c r="AJ159" s="108"/>
      <c r="AK159" s="50"/>
      <c r="AL159" s="50"/>
      <c r="AM159" s="115" t="str">
        <f>IF([7]回答表!BD17="○",IF([7]回答表!X43="○",[7]回答表!B190,IF([7]回答表!AA43="○",[7]回答表!B238,"")),"")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IF([7]回答表!BD17="○",IF([7]回答表!X43="○",[7]回答表!E190,IF([7]回答表!AA43="○",[7]回答表!E238,"")),"")</f>
        <v/>
      </c>
      <c r="AN162" s="83"/>
      <c r="AO162" s="83"/>
      <c r="AP162" s="83"/>
      <c r="AQ162" s="82" t="str">
        <f>IF([7]回答表!BD17="○",IF([7]回答表!X43="○",[7]回答表!E191,IF([7]回答表!AA43="○",[7]回答表!E239,"")),"")</f>
        <v/>
      </c>
      <c r="AR162" s="83"/>
      <c r="AS162" s="83"/>
      <c r="AT162" s="83"/>
      <c r="AU162" s="82" t="str">
        <f>IF([7]回答表!BD17="○",IF([7]回答表!X43="○",[7]回答表!E192,IF([7]回答表!AA43="○",[7]回答表!E240,"")),"")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IF([7]回答表!BD17="○",IF([7]回答表!AA43="○","○",""),"")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IF([7]回答表!BD17="○",IF([7]回答表!AD43="○","○",""),"")</f>
        <v/>
      </c>
      <c r="O171" s="98"/>
      <c r="P171" s="98"/>
      <c r="Q171" s="99"/>
      <c r="R171" s="39"/>
      <c r="S171" s="39"/>
      <c r="T171" s="39"/>
      <c r="U171" s="106" t="str">
        <f>IF([7]回答表!BD17="○",IF([7]回答表!AD43="○",[7]回答表!B249,""),"")</f>
        <v/>
      </c>
      <c r="V171" s="107"/>
      <c r="W171" s="107"/>
      <c r="X171" s="107"/>
      <c r="Y171" s="107"/>
      <c r="Z171" s="107"/>
      <c r="AA171" s="107"/>
      <c r="AB171" s="107"/>
      <c r="AC171" s="107"/>
      <c r="AD171" s="107"/>
      <c r="AE171" s="107"/>
      <c r="AF171" s="107"/>
      <c r="AG171" s="107"/>
      <c r="AH171" s="107"/>
      <c r="AI171" s="107"/>
      <c r="AJ171" s="108"/>
      <c r="AK171" s="56"/>
      <c r="AL171" s="56"/>
      <c r="AM171" s="106" t="str">
        <f>IF([7]回答表!BD17="○",IF([7]回答表!AD43="○",[7]回答表!B255,""),"")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IF([7]回答表!X44="○","○","")</f>
        <v/>
      </c>
      <c r="O183" s="98"/>
      <c r="P183" s="98"/>
      <c r="Q183" s="99"/>
      <c r="R183" s="39"/>
      <c r="S183" s="39"/>
      <c r="T183" s="39"/>
      <c r="U183" s="106" t="str">
        <f>IF([7]回答表!X44="○",[7]回答表!B266,IF([7]回答表!AA44="○",[7]回答表!B283,""))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IF([7]回答表!X44="○",[7]回答表!U272,IF([7]回答表!AA44="○",[7]回答表!U289,""))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IF([7]回答表!X44="○",[7]回答表!G272,IF([7]回答表!AA44="○",[7]回答表!G289,""))</f>
        <v/>
      </c>
      <c r="AN186" s="119"/>
      <c r="AO186" s="119"/>
      <c r="AP186" s="119"/>
      <c r="AQ186" s="119"/>
      <c r="AR186" s="119"/>
      <c r="AS186" s="119"/>
      <c r="AT186" s="120"/>
      <c r="AU186" s="118" t="str">
        <f>IF([7]回答表!X44="○",[7]回答表!G273,IF([7]回答表!AA44="○",[7]回答表!G290,""))</f>
        <v/>
      </c>
      <c r="AV186" s="119"/>
      <c r="AW186" s="119"/>
      <c r="AX186" s="119"/>
      <c r="AY186" s="119"/>
      <c r="AZ186" s="119"/>
      <c r="BA186" s="119"/>
      <c r="BB186" s="120"/>
      <c r="BC186" s="40"/>
      <c r="BD186" s="35"/>
      <c r="BE186" s="82" t="str">
        <f>IF([7]回答表!X44="○",[7]回答表!X272,IF([7]回答表!AA44="○",[7]回答表!X289,""))</f>
        <v/>
      </c>
      <c r="BF186" s="83"/>
      <c r="BG186" s="83"/>
      <c r="BH186" s="83"/>
      <c r="BI186" s="82" t="str">
        <f>IF([7]回答表!X44="○",[7]回答表!X273,IF([7]回答表!AA44="○",[7]回答表!X290,""))</f>
        <v/>
      </c>
      <c r="BJ186" s="83"/>
      <c r="BK186" s="83"/>
      <c r="BL186" s="86"/>
      <c r="BM186" s="82" t="str">
        <f>IF([7]回答表!X44="○",[7]回答表!X274,IF([7]回答表!AA44="○",[7]回答表!X291,""))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IF([7]回答表!AA44="○","○","")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IF([7]回答表!AD44="○","○","")</f>
        <v/>
      </c>
      <c r="O195" s="98"/>
      <c r="P195" s="98"/>
      <c r="Q195" s="99"/>
      <c r="R195" s="39"/>
      <c r="S195" s="39"/>
      <c r="T195" s="39"/>
      <c r="U195" s="106" t="str">
        <f>IF([7]回答表!AD44="○",[7]回答表!B296,"")</f>
        <v/>
      </c>
      <c r="V195" s="107"/>
      <c r="W195" s="107"/>
      <c r="X195" s="107"/>
      <c r="Y195" s="107"/>
      <c r="Z195" s="107"/>
      <c r="AA195" s="107"/>
      <c r="AB195" s="107"/>
      <c r="AC195" s="107"/>
      <c r="AD195" s="107"/>
      <c r="AE195" s="107"/>
      <c r="AF195" s="107"/>
      <c r="AG195" s="107"/>
      <c r="AH195" s="107"/>
      <c r="AI195" s="107"/>
      <c r="AJ195" s="108"/>
      <c r="AK195" s="61"/>
      <c r="AL195" s="61"/>
      <c r="AM195" s="106" t="str">
        <f>IF([7]回答表!AD44="○",[7]回答表!B302,"")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IF([7]回答表!X45="○","○","")</f>
        <v/>
      </c>
      <c r="O207" s="98"/>
      <c r="P207" s="98"/>
      <c r="Q207" s="99"/>
      <c r="R207" s="39"/>
      <c r="S207" s="39"/>
      <c r="T207" s="39"/>
      <c r="U207" s="106" t="str">
        <f>IF([7]回答表!X45="○",[7]回答表!B314,IF([7]回答表!AA45="○",[7]回答表!B337,""))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IF([7]回答表!X45="○",[7]回答表!B320,"")</f>
        <v/>
      </c>
      <c r="AO207" s="164"/>
      <c r="AP207" s="164"/>
      <c r="AQ207" s="164"/>
      <c r="AR207" s="164"/>
      <c r="AS207" s="164"/>
      <c r="AT207" s="164"/>
      <c r="AU207" s="164"/>
      <c r="AV207" s="164"/>
      <c r="AW207" s="164"/>
      <c r="AX207" s="164"/>
      <c r="AY207" s="164"/>
      <c r="AZ207" s="164"/>
      <c r="BA207" s="164"/>
      <c r="BB207" s="165"/>
      <c r="BC207" s="40"/>
      <c r="BD207" s="35"/>
      <c r="BE207" s="115" t="str">
        <f>IF([7]回答表!X45="○",[7]回答表!B326,IF([7]回答表!AA45="○",[7]回答表!B343,""))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IF([7]回答表!X45="○",[7]回答表!E326,IF([7]回答表!AA45="○",[7]回答表!E343,""))</f>
        <v/>
      </c>
      <c r="BF210" s="83"/>
      <c r="BG210" s="83"/>
      <c r="BH210" s="83"/>
      <c r="BI210" s="82" t="str">
        <f>IF([7]回答表!X45="○",[7]回答表!E327,IF([7]回答表!AA45="○",[7]回答表!E344,""))</f>
        <v/>
      </c>
      <c r="BJ210" s="83"/>
      <c r="BK210" s="83"/>
      <c r="BL210" s="86"/>
      <c r="BM210" s="82" t="str">
        <f>IF([7]回答表!X45="○",[7]回答表!E328,IF([7]回答表!AA45="○",[7]回答表!E345,""))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IF([7]回答表!AA45="○","○","")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IF([7]回答表!AD45="○","○","")</f>
        <v/>
      </c>
      <c r="O219" s="98"/>
      <c r="P219" s="98"/>
      <c r="Q219" s="99"/>
      <c r="R219" s="39"/>
      <c r="S219" s="39"/>
      <c r="T219" s="39"/>
      <c r="U219" s="106" t="str">
        <f>IF([7]回答表!AD45="○",[7]回答表!B350,"")</f>
        <v/>
      </c>
      <c r="V219" s="107"/>
      <c r="W219" s="107"/>
      <c r="X219" s="107"/>
      <c r="Y219" s="107"/>
      <c r="Z219" s="107"/>
      <c r="AA219" s="107"/>
      <c r="AB219" s="107"/>
      <c r="AC219" s="107"/>
      <c r="AD219" s="107"/>
      <c r="AE219" s="107"/>
      <c r="AF219" s="107"/>
      <c r="AG219" s="107"/>
      <c r="AH219" s="107"/>
      <c r="AI219" s="107"/>
      <c r="AJ219" s="108"/>
      <c r="AK219" s="61"/>
      <c r="AL219" s="61"/>
      <c r="AM219" s="106" t="str">
        <f>IF([7]回答表!AD45="○",[7]回答表!B356,"")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IF([7]回答表!X46="○","○","")</f>
        <v/>
      </c>
      <c r="O231" s="98"/>
      <c r="P231" s="98"/>
      <c r="Q231" s="99"/>
      <c r="R231" s="39"/>
      <c r="S231" s="39"/>
      <c r="T231" s="39"/>
      <c r="U231" s="106" t="str">
        <f>IF([7]回答表!X46="○",[7]回答表!B368,IF([7]回答表!AA46="○",[7]回答表!B382,""))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IF([7]回答表!X46="○",[7]回答表!BC375,IF([7]回答表!AA46="○",[7]回答表!BC389,""))</f>
        <v/>
      </c>
      <c r="AR231" s="150"/>
      <c r="AS231" s="150"/>
      <c r="AT231" s="150"/>
      <c r="AU231" s="155" t="s">
        <v>63</v>
      </c>
      <c r="AV231" s="156"/>
      <c r="AW231" s="156"/>
      <c r="AX231" s="157"/>
      <c r="AY231" s="150" t="str">
        <f>IF([7]回答表!X46="○",[7]回答表!BC380,IF([7]回答表!AA46="○",[7]回答表!BC394,""))</f>
        <v/>
      </c>
      <c r="AZ231" s="150"/>
      <c r="BA231" s="150"/>
      <c r="BB231" s="150"/>
      <c r="BC231" s="40"/>
      <c r="BD231" s="35"/>
      <c r="BE231" s="115" t="str">
        <f>IF([7]回答表!X46="○",[7]回答表!S374,IF([7]回答表!AA46="○",[7]回答表!S388,""))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IF([7]回答表!X46="○",[7]回答表!BC376,IF([7]回答表!AA46="○",[7]回答表!BC390,""))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IF([7]回答表!X46="○",[7]回答表!V374,IF([7]回答表!AA46="○",[7]回答表!V388,""))</f>
        <v/>
      </c>
      <c r="BF234" s="83"/>
      <c r="BG234" s="83"/>
      <c r="BH234" s="83"/>
      <c r="BI234" s="82" t="str">
        <f>IF([7]回答表!X46="○",[7]回答表!V375,IF([7]回答表!AA46="○",[7]回答表!V389,""))</f>
        <v/>
      </c>
      <c r="BJ234" s="83"/>
      <c r="BK234" s="83"/>
      <c r="BL234" s="86"/>
      <c r="BM234" s="82" t="str">
        <f>IF([7]回答表!X46="○",[7]回答表!V376,IF([7]回答表!AA46="○",[7]回答表!V390,""))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IF([7]回答表!X46="○",[7]回答表!BC377,IF([7]回答表!AA46="○",[7]回答表!BC391,""))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IF([7]回答表!X46="○",[7]回答表!BC381,IF([7]回答表!AA46="○",[7]回答表!BC395,""))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IF([7]回答表!AA46="○","○","")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IF([7]回答表!X46="○",[7]回答表!BC378,IF([7]回答表!AA46="○",[7]回答表!BC392,""))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IF([7]回答表!X46="○",[7]回答表!BC379,IF([7]回答表!AA46="○",[7]回答表!BC393,""))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IF([7]回答表!AD46="○","○","")</f>
        <v/>
      </c>
      <c r="O243" s="98"/>
      <c r="P243" s="98"/>
      <c r="Q243" s="99"/>
      <c r="R243" s="39"/>
      <c r="S243" s="39"/>
      <c r="T243" s="39"/>
      <c r="U243" s="106" t="str">
        <f>IF([7]回答表!AD46="○",[7]回答表!B396,"")</f>
        <v/>
      </c>
      <c r="V243" s="107"/>
      <c r="W243" s="107"/>
      <c r="X243" s="107"/>
      <c r="Y243" s="107"/>
      <c r="Z243" s="107"/>
      <c r="AA243" s="107"/>
      <c r="AB243" s="107"/>
      <c r="AC243" s="107"/>
      <c r="AD243" s="107"/>
      <c r="AE243" s="107"/>
      <c r="AF243" s="107"/>
      <c r="AG243" s="107"/>
      <c r="AH243" s="107"/>
      <c r="AI243" s="107"/>
      <c r="AJ243" s="108"/>
      <c r="AK243" s="56"/>
      <c r="AL243" s="56"/>
      <c r="AM243" s="106" t="str">
        <f>IF([7]回答表!AD46="○",[7]回答表!B402,"")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IF([7]回答表!X47="○","○","")</f>
        <v/>
      </c>
      <c r="O254" s="98"/>
      <c r="P254" s="98"/>
      <c r="Q254" s="99"/>
      <c r="R254" s="39"/>
      <c r="S254" s="39"/>
      <c r="T254" s="39"/>
      <c r="U254" s="106" t="str">
        <f>IF([7]回答表!X47="○",[7]回答表!B414,IF([7]回答表!AA47="○",[7]回答表!B431,""))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IF([7]回答表!X47="○",[7]回答表!B424,IF([7]回答表!AA47="○",[7]回答表!B441,""))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IF([7]回答表!X47="○",[7]回答表!G420,IF([7]回答表!AA47="○",[7]回答表!G437,""))</f>
        <v/>
      </c>
      <c r="AN256" s="119"/>
      <c r="AO256" s="119"/>
      <c r="AP256" s="119"/>
      <c r="AQ256" s="119"/>
      <c r="AR256" s="119"/>
      <c r="AS256" s="119"/>
      <c r="AT256" s="120"/>
      <c r="AU256" s="118" t="str">
        <f>IF([7]回答表!X47="○",[7]回答表!G421,IF([7]回答表!AA47="○",[7]回答表!G438,""))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IF([7]回答表!X47="○",[7]回答表!E424,IF([7]回答表!AA47="○",[7]回答表!E441,""))</f>
        <v/>
      </c>
      <c r="BF257" s="83"/>
      <c r="BG257" s="83"/>
      <c r="BH257" s="83"/>
      <c r="BI257" s="82" t="str">
        <f>IF([7]回答表!X47="○",[7]回答表!E425,IF([7]回答表!AA47="○",[7]回答表!E442,""))</f>
        <v/>
      </c>
      <c r="BJ257" s="83"/>
      <c r="BK257" s="83"/>
      <c r="BL257" s="86"/>
      <c r="BM257" s="82" t="str">
        <f>IF([7]回答表!X47="○",[7]回答表!E426,IF([7]回答表!AA47="○",[7]回答表!E443,""))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IF([7]回答表!AA47="○","○","")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IF([7]回答表!AD47="○","○","")</f>
        <v/>
      </c>
      <c r="O266" s="98"/>
      <c r="P266" s="98"/>
      <c r="Q266" s="99"/>
      <c r="R266" s="39"/>
      <c r="S266" s="39"/>
      <c r="T266" s="39"/>
      <c r="U266" s="106" t="str">
        <f>IF([7]回答表!AD47="○",[7]回答表!B448,"")</f>
        <v/>
      </c>
      <c r="V266" s="107"/>
      <c r="W266" s="107"/>
      <c r="X266" s="107"/>
      <c r="Y266" s="107"/>
      <c r="Z266" s="107"/>
      <c r="AA266" s="107"/>
      <c r="AB266" s="107"/>
      <c r="AC266" s="107"/>
      <c r="AD266" s="107"/>
      <c r="AE266" s="107"/>
      <c r="AF266" s="107"/>
      <c r="AG266" s="107"/>
      <c r="AH266" s="107"/>
      <c r="AI266" s="107"/>
      <c r="AJ266" s="108"/>
      <c r="AK266" s="50"/>
      <c r="AL266" s="50"/>
      <c r="AM266" s="106" t="str">
        <f>IF([7]回答表!AD47="○",[7]回答表!B454,"")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IF([7]回答表!R48="○",[7]回答表!B467,"")</f>
        <v>抜本的な改革の方向性について検討の前段階にある。
また、市直営施設としての運営にあたり、民間事業所では受け入れ困難なケース及び、多様化する住民ニーズに応えながら、迅速かつ公平なサービス提供を継続する必要がある。
今後は、事務及び事業の効率化と簡素化を考慮した事業展開を行っていく。介護職の人材不足により、近い将来指定管理制度の導入や一部業務の民間委託も視野に検討していく。</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BD7C-CB76-40BC-93A2-8F5ABE8128C9}">
  <sheetPr>
    <pageSetUpPr fitToPage="1"/>
  </sheetPr>
  <dimension ref="A1:CE298"/>
  <sheetViews>
    <sheetView showZeros="0" zoomScale="55" zoomScaleNormal="55" workbookViewId="0">
      <selection activeCell="CA66" sqref="CA66"/>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IF(COUNTIF([9]回答表!K15,"*")&gt;0,[9]回答表!K15,"")</f>
        <v>横手市</v>
      </c>
      <c r="D11" s="246"/>
      <c r="E11" s="246"/>
      <c r="F11" s="246"/>
      <c r="G11" s="246"/>
      <c r="H11" s="246"/>
      <c r="I11" s="246"/>
      <c r="J11" s="246"/>
      <c r="K11" s="246"/>
      <c r="L11" s="246"/>
      <c r="M11" s="246"/>
      <c r="N11" s="246"/>
      <c r="O11" s="246"/>
      <c r="P11" s="246"/>
      <c r="Q11" s="246"/>
      <c r="R11" s="246"/>
      <c r="S11" s="246"/>
      <c r="T11" s="246"/>
      <c r="U11" s="253" t="str">
        <f>IF(COUNTIF([9]回答表!F17,"*")&gt;0,[9]回答表!F17,"")</f>
        <v>介護サービス事業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IF(COUNTIF([9]回答表!W17,"*")&gt;0,[9]回答表!W17,"")</f>
        <v>介護老人保健施設</v>
      </c>
      <c r="AP11" s="248"/>
      <c r="AQ11" s="248"/>
      <c r="AR11" s="248"/>
      <c r="AS11" s="248"/>
      <c r="AT11" s="248"/>
      <c r="AU11" s="248"/>
      <c r="AV11" s="248"/>
      <c r="AW11" s="248"/>
      <c r="AX11" s="248"/>
      <c r="AY11" s="248"/>
      <c r="AZ11" s="248"/>
      <c r="BA11" s="248"/>
      <c r="BB11" s="248"/>
      <c r="BC11" s="248"/>
      <c r="BD11" s="248"/>
      <c r="BE11" s="249"/>
      <c r="BF11" s="252" t="str">
        <f>IF(COUNTIF([9]回答表!F19,"*")&gt;0,[9]回答表!F19,"")</f>
        <v>市営介護サービス事業特別会計</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IF([9]回答表!R41="○","○","")</f>
        <v/>
      </c>
      <c r="E24" s="122"/>
      <c r="F24" s="122"/>
      <c r="G24" s="122"/>
      <c r="H24" s="122"/>
      <c r="I24" s="122"/>
      <c r="J24" s="123"/>
      <c r="K24" s="121" t="str">
        <f>IF([9]回答表!R42="○","○","")</f>
        <v/>
      </c>
      <c r="L24" s="122"/>
      <c r="M24" s="122"/>
      <c r="N24" s="122"/>
      <c r="O24" s="122"/>
      <c r="P24" s="122"/>
      <c r="Q24" s="123"/>
      <c r="R24" s="121" t="str">
        <f>IF([9]回答表!R43="○","○","")</f>
        <v/>
      </c>
      <c r="S24" s="122"/>
      <c r="T24" s="122"/>
      <c r="U24" s="122"/>
      <c r="V24" s="122"/>
      <c r="W24" s="122"/>
      <c r="X24" s="123"/>
      <c r="Y24" s="121" t="str">
        <f>IF([9]回答表!R44="○","○","")</f>
        <v/>
      </c>
      <c r="Z24" s="122"/>
      <c r="AA24" s="122"/>
      <c r="AB24" s="122"/>
      <c r="AC24" s="122"/>
      <c r="AD24" s="122"/>
      <c r="AE24" s="123"/>
      <c r="AF24" s="121" t="str">
        <f>IF([9]回答表!R45="○","○","")</f>
        <v/>
      </c>
      <c r="AG24" s="122"/>
      <c r="AH24" s="122"/>
      <c r="AI24" s="122"/>
      <c r="AJ24" s="122"/>
      <c r="AK24" s="122"/>
      <c r="AL24" s="123"/>
      <c r="AM24" s="121" t="str">
        <f>IF([9]回答表!R46="○","○","")</f>
        <v/>
      </c>
      <c r="AN24" s="122"/>
      <c r="AO24" s="122"/>
      <c r="AP24" s="122"/>
      <c r="AQ24" s="122"/>
      <c r="AR24" s="122"/>
      <c r="AS24" s="123"/>
      <c r="AT24" s="121" t="str">
        <f>IF([9]回答表!R47="○","○","")</f>
        <v/>
      </c>
      <c r="AU24" s="122"/>
      <c r="AV24" s="122"/>
      <c r="AW24" s="122"/>
      <c r="AX24" s="122"/>
      <c r="AY24" s="122"/>
      <c r="AZ24" s="123"/>
      <c r="BA24" s="19"/>
      <c r="BB24" s="118" t="str">
        <f>IF([9]回答表!R48="○","○","")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IF([9]回答表!X41="○","○","")</f>
        <v/>
      </c>
      <c r="O36" s="98"/>
      <c r="P36" s="98"/>
      <c r="Q36" s="99"/>
      <c r="R36" s="39"/>
      <c r="S36" s="39"/>
      <c r="T36" s="39"/>
      <c r="U36" s="106" t="str">
        <f>IF([9]回答表!X41="○",[9]回答表!B56,IF([9]回答表!AA41="○",[9]回答表!B76,""))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IF([9]回答表!X41="○",[9]回答表!S62,IF([9]回答表!AA41="○",[9]回答表!S82,""))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IF([9]回答表!X41="○",[9]回答表!G62,IF([9]回答表!AA41="○",[9]回答表!G82,""))</f>
        <v/>
      </c>
      <c r="AN38" s="119"/>
      <c r="AO38" s="119"/>
      <c r="AP38" s="119"/>
      <c r="AQ38" s="119"/>
      <c r="AR38" s="119"/>
      <c r="AS38" s="119"/>
      <c r="AT38" s="120"/>
      <c r="AU38" s="118" t="str">
        <f>IF([9]回答表!X41="○",[9]回答表!G63,IF([9]回答表!AA41="○",[9]回答表!G83,""))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IF([9]回答表!X41="○",[9]回答表!V62,IF([9]回答表!AA41="○",[9]回答表!V82,""))</f>
        <v/>
      </c>
      <c r="BF39" s="199"/>
      <c r="BG39" s="199"/>
      <c r="BH39" s="200"/>
      <c r="BI39" s="82" t="str">
        <f>IF([9]回答表!X41="○",[9]回答表!V63,IF([9]回答表!AA41="○",[9]回答表!V83,""))</f>
        <v/>
      </c>
      <c r="BJ39" s="199"/>
      <c r="BK39" s="199"/>
      <c r="BL39" s="200"/>
      <c r="BM39" s="82" t="str">
        <f>IF([9]回答表!X41="○",[9]回答表!V64,IF([9]回答表!AA41="○",[9]回答表!V84,""))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IF([9]回答表!X41="○",[9]回答表!O68,IF([9]回答表!AA41="○",[9]回答表!O88,""))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IF([9]回答表!X41="○",[9]回答表!O69,IF([9]回答表!AA41="○",[9]回答表!O89,""))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IF([9]回答表!AA41="○","○","")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IF([9]回答表!X41="○",[9]回答表!O70,IF([9]回答表!AA41="○",[9]回答表!O90,""))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IF([9]回答表!X41="○",[9]回答表!O71,IF([9]回答表!AA41="○",[9]回答表!O91,""))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IF([9]回答表!X41="○",[9]回答表!AG68,IF([9]回答表!AA41="○",[9]回答表!AG88,""))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IF([9]回答表!X41="○",[9]回答表!AG69,IF([9]回答表!AA41="○",[9]回答表!AG89,""))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IF([9]回答表!X41="○",[9]回答表!AG70,IF([9]回答表!AA41="○",[9]回答表!AG90,""))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IF([9]回答表!AD41="○","○","")</f>
        <v/>
      </c>
      <c r="O52" s="98"/>
      <c r="P52" s="98"/>
      <c r="Q52" s="99"/>
      <c r="R52" s="39"/>
      <c r="S52" s="39"/>
      <c r="T52" s="39"/>
      <c r="U52" s="106" t="str">
        <f>IF([9]回答表!AD41="○",[9]回答表!B96,"")</f>
        <v/>
      </c>
      <c r="V52" s="107"/>
      <c r="W52" s="107"/>
      <c r="X52" s="107"/>
      <c r="Y52" s="107"/>
      <c r="Z52" s="107"/>
      <c r="AA52" s="107"/>
      <c r="AB52" s="107"/>
      <c r="AC52" s="107"/>
      <c r="AD52" s="107"/>
      <c r="AE52" s="107"/>
      <c r="AF52" s="107"/>
      <c r="AG52" s="107"/>
      <c r="AH52" s="107"/>
      <c r="AI52" s="107"/>
      <c r="AJ52" s="108"/>
      <c r="AK52" s="56"/>
      <c r="AL52" s="56"/>
      <c r="AM52" s="106" t="str">
        <f>IF([9]回答表!AD41="○",[9]回答表!B101,"")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IF([9]回答表!X42="○","○","")</f>
        <v/>
      </c>
      <c r="O63" s="98"/>
      <c r="P63" s="98"/>
      <c r="Q63" s="99"/>
      <c r="R63" s="39"/>
      <c r="S63" s="39"/>
      <c r="T63" s="39"/>
      <c r="U63" s="106" t="str">
        <f>IF([9]回答表!X42="○",[9]回答表!B111,IF([9]回答表!AA42="○",[9]回答表!B124,""))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IF([9]回答表!X42="○",[9]回答表!S117,IF([9]回答表!AA42="○",[9]回答表!S130,""))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IF([9]回答表!X42="○",[9]回答表!J117,IF([9]回答表!AA42="○",[9]回答表!J130,""))</f>
        <v/>
      </c>
      <c r="AN66" s="119"/>
      <c r="AO66" s="119"/>
      <c r="AP66" s="119"/>
      <c r="AQ66" s="119"/>
      <c r="AR66" s="119"/>
      <c r="AS66" s="119"/>
      <c r="AT66" s="120"/>
      <c r="AU66" s="118" t="str">
        <f>IF([9]回答表!X42="○",[9]回答表!J118,IF([9]回答表!AA42="○",[9]回答表!J131,""))</f>
        <v/>
      </c>
      <c r="AV66" s="119"/>
      <c r="AW66" s="119"/>
      <c r="AX66" s="119"/>
      <c r="AY66" s="119"/>
      <c r="AZ66" s="119"/>
      <c r="BA66" s="119"/>
      <c r="BB66" s="120"/>
      <c r="BC66" s="40"/>
      <c r="BD66" s="35"/>
      <c r="BE66" s="82" t="str">
        <f>IF([9]回答表!X42="○",[9]回答表!V117,IF([9]回答表!AA42="○",[9]回答表!V130,""))</f>
        <v/>
      </c>
      <c r="BF66" s="83"/>
      <c r="BG66" s="83"/>
      <c r="BH66" s="83"/>
      <c r="BI66" s="82" t="str">
        <f>IF([9]回答表!X42="○",[9]回答表!V118,IF([9]回答表!AA42="○",[9]回答表!V131,""))</f>
        <v/>
      </c>
      <c r="BJ66" s="83"/>
      <c r="BK66" s="83"/>
      <c r="BL66" s="83"/>
      <c r="BM66" s="82" t="str">
        <f>IF([9]回答表!X42="○",[9]回答表!V119,IF([9]回答表!AA42="○",[9]回答表!V132,""))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IF([9]回答表!AA42="○","○","")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IF([9]回答表!AD42="○","○","")</f>
        <v/>
      </c>
      <c r="O75" s="98"/>
      <c r="P75" s="98"/>
      <c r="Q75" s="99"/>
      <c r="R75" s="39"/>
      <c r="S75" s="39"/>
      <c r="T75" s="39"/>
      <c r="U75" s="106" t="str">
        <f>IF([9]回答表!AD42="○",[9]回答表!B137,"")</f>
        <v/>
      </c>
      <c r="V75" s="107"/>
      <c r="W75" s="107"/>
      <c r="X75" s="107"/>
      <c r="Y75" s="107"/>
      <c r="Z75" s="107"/>
      <c r="AA75" s="107"/>
      <c r="AB75" s="107"/>
      <c r="AC75" s="107"/>
      <c r="AD75" s="107"/>
      <c r="AE75" s="107"/>
      <c r="AF75" s="107"/>
      <c r="AG75" s="107"/>
      <c r="AH75" s="107"/>
      <c r="AI75" s="107"/>
      <c r="AJ75" s="108"/>
      <c r="AK75" s="56"/>
      <c r="AL75" s="56"/>
      <c r="AM75" s="106" t="str">
        <f>IF([9]回答表!AD42="○",[9]回答表!B143,"")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IF([9]回答表!F17="水道事業",IF([9]回答表!X43="○","○",""),"")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IF([9]回答表!F17="水道事業",IF([9]回答表!X43="○",[9]回答表!B154,IF([9]回答表!AA43="○",[9]回答表!B201,"")),"")</f>
        <v/>
      </c>
      <c r="AN87" s="107"/>
      <c r="AO87" s="107"/>
      <c r="AP87" s="107"/>
      <c r="AQ87" s="107"/>
      <c r="AR87" s="107"/>
      <c r="AS87" s="107"/>
      <c r="AT87" s="107"/>
      <c r="AU87" s="107"/>
      <c r="AV87" s="107"/>
      <c r="AW87" s="107"/>
      <c r="AX87" s="107"/>
      <c r="AY87" s="107"/>
      <c r="AZ87" s="107"/>
      <c r="BA87" s="107"/>
      <c r="BB87" s="108"/>
      <c r="BC87" s="40"/>
      <c r="BD87" s="35"/>
      <c r="BE87" s="115" t="str">
        <f>IF([9]回答表!F17="水道事業",IF([9]回答表!X43="○",[9]回答表!B190,IF([9]回答表!AA43="○",[9]回答表!B238,"")),"")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IF([9]回答表!F17="水道事業",IF([9]回答表!X43="○",[9]回答表!J162,IF([9]回答表!AA43="○",[9]回答表!J209,"")),"")</f>
        <v/>
      </c>
      <c r="V89" s="119"/>
      <c r="W89" s="119"/>
      <c r="X89" s="119"/>
      <c r="Y89" s="119"/>
      <c r="Z89" s="119"/>
      <c r="AA89" s="119"/>
      <c r="AB89" s="120"/>
      <c r="AC89" s="118" t="str">
        <f>IF([9]回答表!F17="水道事業",IF([9]回答表!X43="○",[9]回答表!J169,IF([9]回答表!AA43="○",[9]回答表!J216,"")),"")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IF([9]回答表!F17="水道事業",IF([9]回答表!X43="○",[9]回答表!E190,IF([9]回答表!AA43="○",[9]回答表!E238,"")),"")</f>
        <v/>
      </c>
      <c r="BF90" s="83"/>
      <c r="BG90" s="83"/>
      <c r="BH90" s="83"/>
      <c r="BI90" s="82" t="str">
        <f>IF([9]回答表!F17="水道事業",IF([9]回答表!X43="○",[9]回答表!E191,IF([9]回答表!AA43="○",[9]回答表!E239,"")),"")</f>
        <v/>
      </c>
      <c r="BJ90" s="83"/>
      <c r="BK90" s="83"/>
      <c r="BL90" s="83"/>
      <c r="BM90" s="82" t="str">
        <f>IF([9]回答表!F17="水道事業",IF([9]回答表!X43="○",[9]回答表!E192,IF([9]回答表!AA43="○",[9]回答表!E240,"")),"")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IF([9]回答表!F17="水道事業",IF([9]回答表!AA43="○","○",""),"")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IF([9]回答表!F17="水道事業",IF([9]回答表!X43="○",[9]回答表!J172,IF([9]回答表!AA43="○",[9]回答表!J219,"")),"")</f>
        <v/>
      </c>
      <c r="V94" s="119"/>
      <c r="W94" s="119"/>
      <c r="X94" s="119"/>
      <c r="Y94" s="119"/>
      <c r="Z94" s="119"/>
      <c r="AA94" s="119"/>
      <c r="AB94" s="120"/>
      <c r="AC94" s="118" t="str">
        <f>IF([9]回答表!F17="水道事業",IF([9]回答表!X43="○",[9]回答表!J176,IF([9]回答表!AA43="○",[9]回答表!J223,"")),"")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IF([9]回答表!F17="水道事業",IF([9]回答表!AD43="○","○",""),"")</f>
        <v/>
      </c>
      <c r="O99" s="98"/>
      <c r="P99" s="98"/>
      <c r="Q99" s="99"/>
      <c r="R99" s="39"/>
      <c r="S99" s="39"/>
      <c r="T99" s="39"/>
      <c r="U99" s="106" t="str">
        <f>IF([9]回答表!F17="水道事業",IF([9]回答表!AD43="○",[9]回答表!B249,""),"")</f>
        <v/>
      </c>
      <c r="V99" s="107"/>
      <c r="W99" s="107"/>
      <c r="X99" s="107"/>
      <c r="Y99" s="107"/>
      <c r="Z99" s="107"/>
      <c r="AA99" s="107"/>
      <c r="AB99" s="107"/>
      <c r="AC99" s="107"/>
      <c r="AD99" s="107"/>
      <c r="AE99" s="107"/>
      <c r="AF99" s="107"/>
      <c r="AG99" s="107"/>
      <c r="AH99" s="107"/>
      <c r="AI99" s="107"/>
      <c r="AJ99" s="108"/>
      <c r="AK99" s="56"/>
      <c r="AL99" s="56"/>
      <c r="AM99" s="106" t="str">
        <f>IF([9]回答表!F17="水道事業",IF([9]回答表!AD43="○",[9]回答表!B255,""),"")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IF([9]回答表!F17="簡易水道事業",IF([9]回答表!X43="○","○",""),"")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IF([9]回答表!F17="簡易水道事業",IF([9]回答表!X43="○",[9]回答表!B154,IF([9]回答表!AA43="○",[9]回答表!B201,"")),"")</f>
        <v/>
      </c>
      <c r="AN111" s="107"/>
      <c r="AO111" s="107"/>
      <c r="AP111" s="107"/>
      <c r="AQ111" s="107"/>
      <c r="AR111" s="107"/>
      <c r="AS111" s="107"/>
      <c r="AT111" s="107"/>
      <c r="AU111" s="107"/>
      <c r="AV111" s="107"/>
      <c r="AW111" s="107"/>
      <c r="AX111" s="107"/>
      <c r="AY111" s="107"/>
      <c r="AZ111" s="107"/>
      <c r="BA111" s="107"/>
      <c r="BB111" s="108"/>
      <c r="BC111" s="40"/>
      <c r="BD111" s="35"/>
      <c r="BE111" s="115" t="str">
        <f>IF([9]回答表!F17="簡易水道事業",IF([9]回答表!X43="○",[9]回答表!B190,IF([9]回答表!AA43="○",[9]回答表!B238,"")),"")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IF([9]回答表!F17="簡易水道事業",IF([9]回答表!X43="○",[9]回答表!Y181,IF([9]回答表!AA43="○",[9]回答表!Y229,"")),"")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IF([9]回答表!F17="簡易水道事業",IF([9]回答表!X43="○",[9]回答表!E190,IF([9]回答表!AA43="○",[9]回答表!E238,"")),"")</f>
        <v/>
      </c>
      <c r="BF114" s="83"/>
      <c r="BG114" s="83"/>
      <c r="BH114" s="83"/>
      <c r="BI114" s="82" t="str">
        <f>IF([9]回答表!F17="簡易水道事業",IF([9]回答表!X43="○",[9]回答表!E191,IF([9]回答表!AA43="○",[9]回答表!E239,"")),"")</f>
        <v/>
      </c>
      <c r="BJ114" s="83"/>
      <c r="BK114" s="83"/>
      <c r="BL114" s="83"/>
      <c r="BM114" s="82" t="str">
        <f>IF([9]回答表!F17="簡易水道事業",IF([9]回答表!X43="○",[9]回答表!E192,IF([9]回答表!AA43="○",[9]回答表!E240,"")),"")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IF([9]回答表!F17="簡易水道事業",IF([9]回答表!AA43="○","○",""),"")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IF([9]回答表!F17="簡易水道事業",IF([9]回答表!X43="○",[9]回答表!Y182,IF([9]回答表!AA43="○",[9]回答表!Y230,"")),"")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IF([9]回答表!F17="簡易水道事業",IF([9]回答表!AD43="○","○",""),"")</f>
        <v/>
      </c>
      <c r="O123" s="98"/>
      <c r="P123" s="98"/>
      <c r="Q123" s="99"/>
      <c r="R123" s="39"/>
      <c r="S123" s="39"/>
      <c r="T123" s="39"/>
      <c r="U123" s="106" t="str">
        <f>IF([9]回答表!F17="簡易水道事業",IF([9]回答表!AD43="○",[9]回答表!B249,""),"")</f>
        <v/>
      </c>
      <c r="V123" s="107"/>
      <c r="W123" s="107"/>
      <c r="X123" s="107"/>
      <c r="Y123" s="107"/>
      <c r="Z123" s="107"/>
      <c r="AA123" s="107"/>
      <c r="AB123" s="107"/>
      <c r="AC123" s="107"/>
      <c r="AD123" s="107"/>
      <c r="AE123" s="107"/>
      <c r="AF123" s="107"/>
      <c r="AG123" s="107"/>
      <c r="AH123" s="107"/>
      <c r="AI123" s="107"/>
      <c r="AJ123" s="108"/>
      <c r="AK123" s="56"/>
      <c r="AL123" s="56"/>
      <c r="AM123" s="106" t="str">
        <f>IF([9]回答表!F17="簡易水道事業",IF([9]回答表!AD43="○",[9]回答表!B255,""),"")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IF([9]回答表!F17="下水道事業",IF([9]回答表!X43="○","○",""),"")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IF([9]回答表!F17="下水道事業",IF([9]回答表!X43="○",[9]回答表!B154,IF([9]回答表!AA43="○",[9]回答表!B201,"")),"")</f>
        <v/>
      </c>
      <c r="AN135" s="107"/>
      <c r="AO135" s="107"/>
      <c r="AP135" s="107"/>
      <c r="AQ135" s="107"/>
      <c r="AR135" s="107"/>
      <c r="AS135" s="107"/>
      <c r="AT135" s="107"/>
      <c r="AU135" s="107"/>
      <c r="AV135" s="107"/>
      <c r="AW135" s="107"/>
      <c r="AX135" s="107"/>
      <c r="AY135" s="107"/>
      <c r="AZ135" s="107"/>
      <c r="BA135" s="107"/>
      <c r="BB135" s="108"/>
      <c r="BC135" s="40"/>
      <c r="BD135" s="35"/>
      <c r="BE135" s="115" t="str">
        <f>IF([9]回答表!F17="下水道事業",IF([9]回答表!X43="○",[9]回答表!B190,IF([9]回答表!AA43="○",[9]回答表!B238,"")),"")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IF([9]回答表!F17="下水道事業",IF([9]回答表!X43="○",[9]回答表!Y184,IF([9]回答表!AA43="○",[9]回答表!Y232,"")),"")</f>
        <v/>
      </c>
      <c r="V137" s="119"/>
      <c r="W137" s="119"/>
      <c r="X137" s="119"/>
      <c r="Y137" s="119"/>
      <c r="Z137" s="119"/>
      <c r="AA137" s="119"/>
      <c r="AB137" s="120"/>
      <c r="AC137" s="118" t="str">
        <f>IF([9]回答表!F17="下水道事業",IF([9]回答表!X43="○",[9]回答表!Y185,IF([9]回答表!AA43="○",[9]回答表!Y233,"")),"")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IF([9]回答表!F17="下水道事業",IF([9]回答表!X43="○",[9]回答表!E190,IF([9]回答表!AA43="○",[9]回答表!E238,"")),"")</f>
        <v/>
      </c>
      <c r="BF138" s="83"/>
      <c r="BG138" s="83"/>
      <c r="BH138" s="83"/>
      <c r="BI138" s="82" t="str">
        <f>IF([9]回答表!F17="下水道事業",IF([9]回答表!X43="○",[9]回答表!E191,IF([9]回答表!AA43="○",[9]回答表!E239,"")),"")</f>
        <v/>
      </c>
      <c r="BJ138" s="83"/>
      <c r="BK138" s="83"/>
      <c r="BL138" s="83"/>
      <c r="BM138" s="82" t="str">
        <f>IF([9]回答表!F17="下水道事業",IF([9]回答表!X43="○",[9]回答表!E192,IF([9]回答表!AA43="○",[9]回答表!E240,"")),"")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IF([9]回答表!F17="下水道事業",IF([9]回答表!AA43="○","○",""),"")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IF([9]回答表!F17="下水道事業",IF([9]回答表!X43="○",[9]回答表!Y186,IF([9]回答表!AA43="○",[9]回答表!Y234,"")),"")</f>
        <v/>
      </c>
      <c r="V142" s="119"/>
      <c r="W142" s="119"/>
      <c r="X142" s="119"/>
      <c r="Y142" s="119"/>
      <c r="Z142" s="119"/>
      <c r="AA142" s="119"/>
      <c r="AB142" s="120"/>
      <c r="AC142" s="118" t="str">
        <f>IF([9]回答表!F17="下水道事業",IF([9]回答表!X43="○",[9]回答表!Y187,IF([9]回答表!AA43="○",[9]回答表!Y235,"")),"")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IF([9]回答表!F17="下水道事業",IF([9]回答表!AD43="○","○",""),"")</f>
        <v/>
      </c>
      <c r="O147" s="98"/>
      <c r="P147" s="98"/>
      <c r="Q147" s="99"/>
      <c r="R147" s="39"/>
      <c r="S147" s="39"/>
      <c r="T147" s="39"/>
      <c r="U147" s="106" t="str">
        <f>IF([9]回答表!F17="下水道事業",IF([9]回答表!AD43="○",[9]回答表!B249,""),"")</f>
        <v/>
      </c>
      <c r="V147" s="107"/>
      <c r="W147" s="107"/>
      <c r="X147" s="107"/>
      <c r="Y147" s="107"/>
      <c r="Z147" s="107"/>
      <c r="AA147" s="107"/>
      <c r="AB147" s="107"/>
      <c r="AC147" s="107"/>
      <c r="AD147" s="107"/>
      <c r="AE147" s="107"/>
      <c r="AF147" s="107"/>
      <c r="AG147" s="107"/>
      <c r="AH147" s="107"/>
      <c r="AI147" s="107"/>
      <c r="AJ147" s="108"/>
      <c r="AK147" s="56"/>
      <c r="AL147" s="56"/>
      <c r="AM147" s="106" t="str">
        <f>IF([9]回答表!F17="下水道事業",IF([9]回答表!AD43="○",[9]回答表!B255,""),"")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IF([9]回答表!BD17="○",IF([9]回答表!X43="○","○",""),"")</f>
        <v/>
      </c>
      <c r="O159" s="98"/>
      <c r="P159" s="98"/>
      <c r="Q159" s="99"/>
      <c r="R159" s="39"/>
      <c r="S159" s="39"/>
      <c r="T159" s="39"/>
      <c r="U159" s="106" t="str">
        <f>IF([9]回答表!BD17="○",IF([9]回答表!X43="○",[9]回答表!B154,IF([9]回答表!AA43="○",[9]回答表!B201,"")),"")</f>
        <v/>
      </c>
      <c r="V159" s="107"/>
      <c r="W159" s="107"/>
      <c r="X159" s="107"/>
      <c r="Y159" s="107"/>
      <c r="Z159" s="107"/>
      <c r="AA159" s="107"/>
      <c r="AB159" s="107"/>
      <c r="AC159" s="107"/>
      <c r="AD159" s="107"/>
      <c r="AE159" s="107"/>
      <c r="AF159" s="107"/>
      <c r="AG159" s="107"/>
      <c r="AH159" s="107"/>
      <c r="AI159" s="107"/>
      <c r="AJ159" s="108"/>
      <c r="AK159" s="50"/>
      <c r="AL159" s="50"/>
      <c r="AM159" s="115" t="str">
        <f>IF([9]回答表!BD17="○",IF([9]回答表!X43="○",[9]回答表!B190,IF([9]回答表!AA43="○",[9]回答表!B238,"")),"")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IF([9]回答表!BD17="○",IF([9]回答表!X43="○",[9]回答表!E190,IF([9]回答表!AA43="○",[9]回答表!E238,"")),"")</f>
        <v/>
      </c>
      <c r="AN162" s="83"/>
      <c r="AO162" s="83"/>
      <c r="AP162" s="83"/>
      <c r="AQ162" s="82" t="str">
        <f>IF([9]回答表!BD17="○",IF([9]回答表!X43="○",[9]回答表!E191,IF([9]回答表!AA43="○",[9]回答表!E239,"")),"")</f>
        <v/>
      </c>
      <c r="AR162" s="83"/>
      <c r="AS162" s="83"/>
      <c r="AT162" s="83"/>
      <c r="AU162" s="82" t="str">
        <f>IF([9]回答表!BD17="○",IF([9]回答表!X43="○",[9]回答表!E192,IF([9]回答表!AA43="○",[9]回答表!E240,"")),"")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IF([9]回答表!BD17="○",IF([9]回答表!AA43="○","○",""),"")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IF([9]回答表!BD17="○",IF([9]回答表!AD43="○","○",""),"")</f>
        <v/>
      </c>
      <c r="O171" s="98"/>
      <c r="P171" s="98"/>
      <c r="Q171" s="99"/>
      <c r="R171" s="39"/>
      <c r="S171" s="39"/>
      <c r="T171" s="39"/>
      <c r="U171" s="106" t="str">
        <f>IF([9]回答表!BD17="○",IF([9]回答表!AD43="○",[9]回答表!B249,""),"")</f>
        <v/>
      </c>
      <c r="V171" s="107"/>
      <c r="W171" s="107"/>
      <c r="X171" s="107"/>
      <c r="Y171" s="107"/>
      <c r="Z171" s="107"/>
      <c r="AA171" s="107"/>
      <c r="AB171" s="107"/>
      <c r="AC171" s="107"/>
      <c r="AD171" s="107"/>
      <c r="AE171" s="107"/>
      <c r="AF171" s="107"/>
      <c r="AG171" s="107"/>
      <c r="AH171" s="107"/>
      <c r="AI171" s="107"/>
      <c r="AJ171" s="108"/>
      <c r="AK171" s="56"/>
      <c r="AL171" s="56"/>
      <c r="AM171" s="106" t="str">
        <f>IF([9]回答表!BD17="○",IF([9]回答表!AD43="○",[9]回答表!B255,""),"")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IF([9]回答表!X44="○","○","")</f>
        <v/>
      </c>
      <c r="O183" s="98"/>
      <c r="P183" s="98"/>
      <c r="Q183" s="99"/>
      <c r="R183" s="39"/>
      <c r="S183" s="39"/>
      <c r="T183" s="39"/>
      <c r="U183" s="106" t="str">
        <f>IF([9]回答表!X44="○",[9]回答表!B266,IF([9]回答表!AA44="○",[9]回答表!B283,""))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IF([9]回答表!X44="○",[9]回答表!U272,IF([9]回答表!AA44="○",[9]回答表!U289,""))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IF([9]回答表!X44="○",[9]回答表!G272,IF([9]回答表!AA44="○",[9]回答表!G289,""))</f>
        <v/>
      </c>
      <c r="AN186" s="119"/>
      <c r="AO186" s="119"/>
      <c r="AP186" s="119"/>
      <c r="AQ186" s="119"/>
      <c r="AR186" s="119"/>
      <c r="AS186" s="119"/>
      <c r="AT186" s="120"/>
      <c r="AU186" s="118" t="str">
        <f>IF([9]回答表!X44="○",[9]回答表!G273,IF([9]回答表!AA44="○",[9]回答表!G290,""))</f>
        <v/>
      </c>
      <c r="AV186" s="119"/>
      <c r="AW186" s="119"/>
      <c r="AX186" s="119"/>
      <c r="AY186" s="119"/>
      <c r="AZ186" s="119"/>
      <c r="BA186" s="119"/>
      <c r="BB186" s="120"/>
      <c r="BC186" s="40"/>
      <c r="BD186" s="35"/>
      <c r="BE186" s="82" t="str">
        <f>IF([9]回答表!X44="○",[9]回答表!X272,IF([9]回答表!AA44="○",[9]回答表!X289,""))</f>
        <v/>
      </c>
      <c r="BF186" s="83"/>
      <c r="BG186" s="83"/>
      <c r="BH186" s="83"/>
      <c r="BI186" s="82" t="str">
        <f>IF([9]回答表!X44="○",[9]回答表!X273,IF([9]回答表!AA44="○",[9]回答表!X290,""))</f>
        <v/>
      </c>
      <c r="BJ186" s="83"/>
      <c r="BK186" s="83"/>
      <c r="BL186" s="86"/>
      <c r="BM186" s="82" t="str">
        <f>IF([9]回答表!X44="○",[9]回答表!X274,IF([9]回答表!AA44="○",[9]回答表!X291,""))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IF([9]回答表!AA44="○","○","")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IF([9]回答表!AD44="○","○","")</f>
        <v/>
      </c>
      <c r="O195" s="98"/>
      <c r="P195" s="98"/>
      <c r="Q195" s="99"/>
      <c r="R195" s="39"/>
      <c r="S195" s="39"/>
      <c r="T195" s="39"/>
      <c r="U195" s="106" t="str">
        <f>IF([9]回答表!AD44="○",[9]回答表!B296,"")</f>
        <v/>
      </c>
      <c r="V195" s="107"/>
      <c r="W195" s="107"/>
      <c r="X195" s="107"/>
      <c r="Y195" s="107"/>
      <c r="Z195" s="107"/>
      <c r="AA195" s="107"/>
      <c r="AB195" s="107"/>
      <c r="AC195" s="107"/>
      <c r="AD195" s="107"/>
      <c r="AE195" s="107"/>
      <c r="AF195" s="107"/>
      <c r="AG195" s="107"/>
      <c r="AH195" s="107"/>
      <c r="AI195" s="107"/>
      <c r="AJ195" s="108"/>
      <c r="AK195" s="61"/>
      <c r="AL195" s="61"/>
      <c r="AM195" s="106" t="str">
        <f>IF([9]回答表!AD44="○",[9]回答表!B302,"")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IF([9]回答表!X45="○","○","")</f>
        <v/>
      </c>
      <c r="O207" s="98"/>
      <c r="P207" s="98"/>
      <c r="Q207" s="99"/>
      <c r="R207" s="39"/>
      <c r="S207" s="39"/>
      <c r="T207" s="39"/>
      <c r="U207" s="106" t="str">
        <f>IF([9]回答表!X45="○",[9]回答表!B314,IF([9]回答表!AA45="○",[9]回答表!B337,""))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IF([9]回答表!X45="○",[9]回答表!B320,"")</f>
        <v/>
      </c>
      <c r="AO207" s="164"/>
      <c r="AP207" s="164"/>
      <c r="AQ207" s="164"/>
      <c r="AR207" s="164"/>
      <c r="AS207" s="164"/>
      <c r="AT207" s="164"/>
      <c r="AU207" s="164"/>
      <c r="AV207" s="164"/>
      <c r="AW207" s="164"/>
      <c r="AX207" s="164"/>
      <c r="AY207" s="164"/>
      <c r="AZ207" s="164"/>
      <c r="BA207" s="164"/>
      <c r="BB207" s="165"/>
      <c r="BC207" s="40"/>
      <c r="BD207" s="35"/>
      <c r="BE207" s="115" t="str">
        <f>IF([9]回答表!X45="○",[9]回答表!B326,IF([9]回答表!AA45="○",[9]回答表!B343,""))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IF([9]回答表!X45="○",[9]回答表!E326,IF([9]回答表!AA45="○",[9]回答表!E343,""))</f>
        <v/>
      </c>
      <c r="BF210" s="83"/>
      <c r="BG210" s="83"/>
      <c r="BH210" s="83"/>
      <c r="BI210" s="82" t="str">
        <f>IF([9]回答表!X45="○",[9]回答表!E327,IF([9]回答表!AA45="○",[9]回答表!E344,""))</f>
        <v/>
      </c>
      <c r="BJ210" s="83"/>
      <c r="BK210" s="83"/>
      <c r="BL210" s="86"/>
      <c r="BM210" s="82" t="str">
        <f>IF([9]回答表!X45="○",[9]回答表!E328,IF([9]回答表!AA45="○",[9]回答表!E345,""))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IF([9]回答表!AA45="○","○","")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IF([9]回答表!AD45="○","○","")</f>
        <v/>
      </c>
      <c r="O219" s="98"/>
      <c r="P219" s="98"/>
      <c r="Q219" s="99"/>
      <c r="R219" s="39"/>
      <c r="S219" s="39"/>
      <c r="T219" s="39"/>
      <c r="U219" s="106" t="str">
        <f>IF([9]回答表!AD45="○",[9]回答表!B350,"")</f>
        <v/>
      </c>
      <c r="V219" s="107"/>
      <c r="W219" s="107"/>
      <c r="X219" s="107"/>
      <c r="Y219" s="107"/>
      <c r="Z219" s="107"/>
      <c r="AA219" s="107"/>
      <c r="AB219" s="107"/>
      <c r="AC219" s="107"/>
      <c r="AD219" s="107"/>
      <c r="AE219" s="107"/>
      <c r="AF219" s="107"/>
      <c r="AG219" s="107"/>
      <c r="AH219" s="107"/>
      <c r="AI219" s="107"/>
      <c r="AJ219" s="108"/>
      <c r="AK219" s="61"/>
      <c r="AL219" s="61"/>
      <c r="AM219" s="106" t="str">
        <f>IF([9]回答表!AD45="○",[9]回答表!B356,"")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IF([9]回答表!X46="○","○","")</f>
        <v/>
      </c>
      <c r="O231" s="98"/>
      <c r="P231" s="98"/>
      <c r="Q231" s="99"/>
      <c r="R231" s="39"/>
      <c r="S231" s="39"/>
      <c r="T231" s="39"/>
      <c r="U231" s="106" t="str">
        <f>IF([9]回答表!X46="○",[9]回答表!B368,IF([9]回答表!AA46="○",[9]回答表!B382,""))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IF([9]回答表!X46="○",[9]回答表!BC375,IF([9]回答表!AA46="○",[9]回答表!BC389,""))</f>
        <v/>
      </c>
      <c r="AR231" s="150"/>
      <c r="AS231" s="150"/>
      <c r="AT231" s="150"/>
      <c r="AU231" s="155" t="s">
        <v>63</v>
      </c>
      <c r="AV231" s="156"/>
      <c r="AW231" s="156"/>
      <c r="AX231" s="157"/>
      <c r="AY231" s="150" t="str">
        <f>IF([9]回答表!X46="○",[9]回答表!BC380,IF([9]回答表!AA46="○",[9]回答表!BC394,""))</f>
        <v/>
      </c>
      <c r="AZ231" s="150"/>
      <c r="BA231" s="150"/>
      <c r="BB231" s="150"/>
      <c r="BC231" s="40"/>
      <c r="BD231" s="35"/>
      <c r="BE231" s="115" t="str">
        <f>IF([9]回答表!X46="○",[9]回答表!S374,IF([9]回答表!AA46="○",[9]回答表!S388,""))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IF([9]回答表!X46="○",[9]回答表!BC376,IF([9]回答表!AA46="○",[9]回答表!BC390,""))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IF([9]回答表!X46="○",[9]回答表!V374,IF([9]回答表!AA46="○",[9]回答表!V388,""))</f>
        <v/>
      </c>
      <c r="BF234" s="83"/>
      <c r="BG234" s="83"/>
      <c r="BH234" s="83"/>
      <c r="BI234" s="82" t="str">
        <f>IF([9]回答表!X46="○",[9]回答表!V375,IF([9]回答表!AA46="○",[9]回答表!V389,""))</f>
        <v/>
      </c>
      <c r="BJ234" s="83"/>
      <c r="BK234" s="83"/>
      <c r="BL234" s="86"/>
      <c r="BM234" s="82" t="str">
        <f>IF([9]回答表!X46="○",[9]回答表!V376,IF([9]回答表!AA46="○",[9]回答表!V390,""))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IF([9]回答表!X46="○",[9]回答表!BC377,IF([9]回答表!AA46="○",[9]回答表!BC391,""))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IF([9]回答表!X46="○",[9]回答表!BC381,IF([9]回答表!AA46="○",[9]回答表!BC395,""))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IF([9]回答表!AA46="○","○","")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IF([9]回答表!X46="○",[9]回答表!BC378,IF([9]回答表!AA46="○",[9]回答表!BC392,""))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IF([9]回答表!X46="○",[9]回答表!BC379,IF([9]回答表!AA46="○",[9]回答表!BC393,""))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IF([9]回答表!AD46="○","○","")</f>
        <v/>
      </c>
      <c r="O243" s="98"/>
      <c r="P243" s="98"/>
      <c r="Q243" s="99"/>
      <c r="R243" s="39"/>
      <c r="S243" s="39"/>
      <c r="T243" s="39"/>
      <c r="U243" s="106" t="str">
        <f>IF([9]回答表!AD46="○",[9]回答表!B396,"")</f>
        <v/>
      </c>
      <c r="V243" s="107"/>
      <c r="W243" s="107"/>
      <c r="X243" s="107"/>
      <c r="Y243" s="107"/>
      <c r="Z243" s="107"/>
      <c r="AA243" s="107"/>
      <c r="AB243" s="107"/>
      <c r="AC243" s="107"/>
      <c r="AD243" s="107"/>
      <c r="AE243" s="107"/>
      <c r="AF243" s="107"/>
      <c r="AG243" s="107"/>
      <c r="AH243" s="107"/>
      <c r="AI243" s="107"/>
      <c r="AJ243" s="108"/>
      <c r="AK243" s="56"/>
      <c r="AL243" s="56"/>
      <c r="AM243" s="106" t="str">
        <f>IF([9]回答表!AD46="○",[9]回答表!B402,"")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IF([9]回答表!X47="○","○","")</f>
        <v/>
      </c>
      <c r="O254" s="98"/>
      <c r="P254" s="98"/>
      <c r="Q254" s="99"/>
      <c r="R254" s="39"/>
      <c r="S254" s="39"/>
      <c r="T254" s="39"/>
      <c r="U254" s="106" t="str">
        <f>IF([9]回答表!X47="○",[9]回答表!B414,IF([9]回答表!AA47="○",[9]回答表!B431,""))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IF([9]回答表!X47="○",[9]回答表!B424,IF([9]回答表!AA47="○",[9]回答表!B441,""))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IF([9]回答表!X47="○",[9]回答表!G420,IF([9]回答表!AA47="○",[9]回答表!G437,""))</f>
        <v/>
      </c>
      <c r="AN256" s="119"/>
      <c r="AO256" s="119"/>
      <c r="AP256" s="119"/>
      <c r="AQ256" s="119"/>
      <c r="AR256" s="119"/>
      <c r="AS256" s="119"/>
      <c r="AT256" s="120"/>
      <c r="AU256" s="118" t="str">
        <f>IF([9]回答表!X47="○",[9]回答表!G421,IF([9]回答表!AA47="○",[9]回答表!G438,""))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IF([9]回答表!X47="○",[9]回答表!E424,IF([9]回答表!AA47="○",[9]回答表!E441,""))</f>
        <v/>
      </c>
      <c r="BF257" s="83"/>
      <c r="BG257" s="83"/>
      <c r="BH257" s="83"/>
      <c r="BI257" s="82" t="str">
        <f>IF([9]回答表!X47="○",[9]回答表!E425,IF([9]回答表!AA47="○",[9]回答表!E442,""))</f>
        <v/>
      </c>
      <c r="BJ257" s="83"/>
      <c r="BK257" s="83"/>
      <c r="BL257" s="86"/>
      <c r="BM257" s="82" t="str">
        <f>IF([9]回答表!X47="○",[9]回答表!E426,IF([9]回答表!AA47="○",[9]回答表!E443,""))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IF([9]回答表!AA47="○","○","")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IF([9]回答表!AD47="○","○","")</f>
        <v/>
      </c>
      <c r="O266" s="98"/>
      <c r="P266" s="98"/>
      <c r="Q266" s="99"/>
      <c r="R266" s="39"/>
      <c r="S266" s="39"/>
      <c r="T266" s="39"/>
      <c r="U266" s="106" t="str">
        <f>IF([9]回答表!AD47="○",[9]回答表!B448,"")</f>
        <v/>
      </c>
      <c r="V266" s="107"/>
      <c r="W266" s="107"/>
      <c r="X266" s="107"/>
      <c r="Y266" s="107"/>
      <c r="Z266" s="107"/>
      <c r="AA266" s="107"/>
      <c r="AB266" s="107"/>
      <c r="AC266" s="107"/>
      <c r="AD266" s="107"/>
      <c r="AE266" s="107"/>
      <c r="AF266" s="107"/>
      <c r="AG266" s="107"/>
      <c r="AH266" s="107"/>
      <c r="AI266" s="107"/>
      <c r="AJ266" s="108"/>
      <c r="AK266" s="50"/>
      <c r="AL266" s="50"/>
      <c r="AM266" s="106" t="str">
        <f>IF([9]回答表!AD47="○",[9]回答表!B454,"")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IF([9]回答表!R48="○",[9]回答表!B467,"")</f>
        <v>現行の経営体制・手法で、健全な事業運営が実施できている為である。
ただし、民間事業の経営手法やコスト比較など調査・研究を行い、事務及び事業の効率化と簡素に努めながら事業を実施する。
また、指定管理制度の導入や施設及び事業の譲渡、一部業務の民間委託も検討していく。</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8439-BDB6-4772-8DC2-79DC36E0E039}">
  <sheetPr>
    <pageSetUpPr fitToPage="1"/>
  </sheetPr>
  <dimension ref="A1:CE298"/>
  <sheetViews>
    <sheetView showZeros="0" zoomScale="55" zoomScaleNormal="55" workbookViewId="0">
      <selection activeCell="W309" sqref="W30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IF(COUNTIF([8]回答表!K15,"*")&gt;0,[8]回答表!K15,"")</f>
        <v>横手市</v>
      </c>
      <c r="D11" s="246"/>
      <c r="E11" s="246"/>
      <c r="F11" s="246"/>
      <c r="G11" s="246"/>
      <c r="H11" s="246"/>
      <c r="I11" s="246"/>
      <c r="J11" s="246"/>
      <c r="K11" s="246"/>
      <c r="L11" s="246"/>
      <c r="M11" s="246"/>
      <c r="N11" s="246"/>
      <c r="O11" s="246"/>
      <c r="P11" s="246"/>
      <c r="Q11" s="246"/>
      <c r="R11" s="246"/>
      <c r="S11" s="246"/>
      <c r="T11" s="246"/>
      <c r="U11" s="253" t="str">
        <f>IF(COUNTIF([8]回答表!F17,"*")&gt;0,[8]回答表!F17,"")</f>
        <v>介護サービス事業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IF(COUNTIF([8]回答表!W17,"*")&gt;0,[8]回答表!W17,"")</f>
        <v>老人短期入所施設</v>
      </c>
      <c r="AP11" s="248"/>
      <c r="AQ11" s="248"/>
      <c r="AR11" s="248"/>
      <c r="AS11" s="248"/>
      <c r="AT11" s="248"/>
      <c r="AU11" s="248"/>
      <c r="AV11" s="248"/>
      <c r="AW11" s="248"/>
      <c r="AX11" s="248"/>
      <c r="AY11" s="248"/>
      <c r="AZ11" s="248"/>
      <c r="BA11" s="248"/>
      <c r="BB11" s="248"/>
      <c r="BC11" s="248"/>
      <c r="BD11" s="248"/>
      <c r="BE11" s="249"/>
      <c r="BF11" s="252" t="str">
        <f>IF(COUNTIF([8]回答表!F19,"*")&gt;0,[8]回答表!F19,"")</f>
        <v>市営介護サービス事業特別会計</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IF([8]回答表!R41="○","○","")</f>
        <v/>
      </c>
      <c r="E24" s="122"/>
      <c r="F24" s="122"/>
      <c r="G24" s="122"/>
      <c r="H24" s="122"/>
      <c r="I24" s="122"/>
      <c r="J24" s="123"/>
      <c r="K24" s="121" t="str">
        <f>IF([8]回答表!R42="○","○","")</f>
        <v/>
      </c>
      <c r="L24" s="122"/>
      <c r="M24" s="122"/>
      <c r="N24" s="122"/>
      <c r="O24" s="122"/>
      <c r="P24" s="122"/>
      <c r="Q24" s="123"/>
      <c r="R24" s="121" t="str">
        <f>IF([8]回答表!R43="○","○","")</f>
        <v/>
      </c>
      <c r="S24" s="122"/>
      <c r="T24" s="122"/>
      <c r="U24" s="122"/>
      <c r="V24" s="122"/>
      <c r="W24" s="122"/>
      <c r="X24" s="123"/>
      <c r="Y24" s="121" t="str">
        <f>IF([8]回答表!R44="○","○","")</f>
        <v/>
      </c>
      <c r="Z24" s="122"/>
      <c r="AA24" s="122"/>
      <c r="AB24" s="122"/>
      <c r="AC24" s="122"/>
      <c r="AD24" s="122"/>
      <c r="AE24" s="123"/>
      <c r="AF24" s="121" t="str">
        <f>IF([8]回答表!R45="○","○","")</f>
        <v/>
      </c>
      <c r="AG24" s="122"/>
      <c r="AH24" s="122"/>
      <c r="AI24" s="122"/>
      <c r="AJ24" s="122"/>
      <c r="AK24" s="122"/>
      <c r="AL24" s="123"/>
      <c r="AM24" s="121" t="str">
        <f>IF([8]回答表!R46="○","○","")</f>
        <v/>
      </c>
      <c r="AN24" s="122"/>
      <c r="AO24" s="122"/>
      <c r="AP24" s="122"/>
      <c r="AQ24" s="122"/>
      <c r="AR24" s="122"/>
      <c r="AS24" s="123"/>
      <c r="AT24" s="121" t="str">
        <f>IF([8]回答表!R47="○","○","")</f>
        <v/>
      </c>
      <c r="AU24" s="122"/>
      <c r="AV24" s="122"/>
      <c r="AW24" s="122"/>
      <c r="AX24" s="122"/>
      <c r="AY24" s="122"/>
      <c r="AZ24" s="123"/>
      <c r="BA24" s="19"/>
      <c r="BB24" s="118" t="str">
        <f>IF([8]回答表!R48="○","○","")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IF([8]回答表!X41="○","○","")</f>
        <v/>
      </c>
      <c r="O36" s="98"/>
      <c r="P36" s="98"/>
      <c r="Q36" s="99"/>
      <c r="R36" s="39"/>
      <c r="S36" s="39"/>
      <c r="T36" s="39"/>
      <c r="U36" s="106" t="str">
        <f>IF([8]回答表!X41="○",[8]回答表!B56,IF([8]回答表!AA41="○",[8]回答表!B76,""))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IF([8]回答表!X41="○",[8]回答表!S62,IF([8]回答表!AA41="○",[8]回答表!S82,""))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IF([8]回答表!X41="○",[8]回答表!G62,IF([8]回答表!AA41="○",[8]回答表!G82,""))</f>
        <v/>
      </c>
      <c r="AN38" s="119"/>
      <c r="AO38" s="119"/>
      <c r="AP38" s="119"/>
      <c r="AQ38" s="119"/>
      <c r="AR38" s="119"/>
      <c r="AS38" s="119"/>
      <c r="AT38" s="120"/>
      <c r="AU38" s="118" t="str">
        <f>IF([8]回答表!X41="○",[8]回答表!G63,IF([8]回答表!AA41="○",[8]回答表!G83,""))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IF([8]回答表!X41="○",[8]回答表!V62,IF([8]回答表!AA41="○",[8]回答表!V82,""))</f>
        <v/>
      </c>
      <c r="BF39" s="199"/>
      <c r="BG39" s="199"/>
      <c r="BH39" s="200"/>
      <c r="BI39" s="82" t="str">
        <f>IF([8]回答表!X41="○",[8]回答表!V63,IF([8]回答表!AA41="○",[8]回答表!V83,""))</f>
        <v/>
      </c>
      <c r="BJ39" s="199"/>
      <c r="BK39" s="199"/>
      <c r="BL39" s="200"/>
      <c r="BM39" s="82" t="str">
        <f>IF([8]回答表!X41="○",[8]回答表!V64,IF([8]回答表!AA41="○",[8]回答表!V84,""))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IF([8]回答表!X41="○",[8]回答表!O68,IF([8]回答表!AA41="○",[8]回答表!O88,""))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IF([8]回答表!X41="○",[8]回答表!O69,IF([8]回答表!AA41="○",[8]回答表!O89,""))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IF([8]回答表!AA41="○","○","")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IF([8]回答表!X41="○",[8]回答表!O70,IF([8]回答表!AA41="○",[8]回答表!O90,""))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IF([8]回答表!X41="○",[8]回答表!O71,IF([8]回答表!AA41="○",[8]回答表!O91,""))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IF([8]回答表!X41="○",[8]回答表!AG68,IF([8]回答表!AA41="○",[8]回答表!AG88,""))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IF([8]回答表!X41="○",[8]回答表!AG69,IF([8]回答表!AA41="○",[8]回答表!AG89,""))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IF([8]回答表!X41="○",[8]回答表!AG70,IF([8]回答表!AA41="○",[8]回答表!AG90,""))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IF([8]回答表!AD41="○","○","")</f>
        <v/>
      </c>
      <c r="O52" s="98"/>
      <c r="P52" s="98"/>
      <c r="Q52" s="99"/>
      <c r="R52" s="39"/>
      <c r="S52" s="39"/>
      <c r="T52" s="39"/>
      <c r="U52" s="106" t="str">
        <f>IF([8]回答表!AD41="○",[8]回答表!B96,"")</f>
        <v/>
      </c>
      <c r="V52" s="107"/>
      <c r="W52" s="107"/>
      <c r="X52" s="107"/>
      <c r="Y52" s="107"/>
      <c r="Z52" s="107"/>
      <c r="AA52" s="107"/>
      <c r="AB52" s="107"/>
      <c r="AC52" s="107"/>
      <c r="AD52" s="107"/>
      <c r="AE52" s="107"/>
      <c r="AF52" s="107"/>
      <c r="AG52" s="107"/>
      <c r="AH52" s="107"/>
      <c r="AI52" s="107"/>
      <c r="AJ52" s="108"/>
      <c r="AK52" s="56"/>
      <c r="AL52" s="56"/>
      <c r="AM52" s="106" t="str">
        <f>IF([8]回答表!AD41="○",[8]回答表!B101,"")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IF([8]回答表!X42="○","○","")</f>
        <v/>
      </c>
      <c r="O63" s="98"/>
      <c r="P63" s="98"/>
      <c r="Q63" s="99"/>
      <c r="R63" s="39"/>
      <c r="S63" s="39"/>
      <c r="T63" s="39"/>
      <c r="U63" s="106" t="str">
        <f>IF([8]回答表!X42="○",[8]回答表!B111,IF([8]回答表!AA42="○",[8]回答表!B124,""))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IF([8]回答表!X42="○",[8]回答表!S117,IF([8]回答表!AA42="○",[8]回答表!S130,""))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IF([8]回答表!X42="○",[8]回答表!J117,IF([8]回答表!AA42="○",[8]回答表!J130,""))</f>
        <v/>
      </c>
      <c r="AN66" s="119"/>
      <c r="AO66" s="119"/>
      <c r="AP66" s="119"/>
      <c r="AQ66" s="119"/>
      <c r="AR66" s="119"/>
      <c r="AS66" s="119"/>
      <c r="AT66" s="120"/>
      <c r="AU66" s="118" t="str">
        <f>IF([8]回答表!X42="○",[8]回答表!J118,IF([8]回答表!AA42="○",[8]回答表!J131,""))</f>
        <v/>
      </c>
      <c r="AV66" s="119"/>
      <c r="AW66" s="119"/>
      <c r="AX66" s="119"/>
      <c r="AY66" s="119"/>
      <c r="AZ66" s="119"/>
      <c r="BA66" s="119"/>
      <c r="BB66" s="120"/>
      <c r="BC66" s="40"/>
      <c r="BD66" s="35"/>
      <c r="BE66" s="82" t="str">
        <f>IF([8]回答表!X42="○",[8]回答表!V117,IF([8]回答表!AA42="○",[8]回答表!V130,""))</f>
        <v/>
      </c>
      <c r="BF66" s="83"/>
      <c r="BG66" s="83"/>
      <c r="BH66" s="83"/>
      <c r="BI66" s="82" t="str">
        <f>IF([8]回答表!X42="○",[8]回答表!V118,IF([8]回答表!AA42="○",[8]回答表!V131,""))</f>
        <v/>
      </c>
      <c r="BJ66" s="83"/>
      <c r="BK66" s="83"/>
      <c r="BL66" s="83"/>
      <c r="BM66" s="82" t="str">
        <f>IF([8]回答表!X42="○",[8]回答表!V119,IF([8]回答表!AA42="○",[8]回答表!V132,""))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IF([8]回答表!AA42="○","○","")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IF([8]回答表!AD42="○","○","")</f>
        <v/>
      </c>
      <c r="O75" s="98"/>
      <c r="P75" s="98"/>
      <c r="Q75" s="99"/>
      <c r="R75" s="39"/>
      <c r="S75" s="39"/>
      <c r="T75" s="39"/>
      <c r="U75" s="106" t="str">
        <f>IF([8]回答表!AD42="○",[8]回答表!B137,"")</f>
        <v/>
      </c>
      <c r="V75" s="107"/>
      <c r="W75" s="107"/>
      <c r="X75" s="107"/>
      <c r="Y75" s="107"/>
      <c r="Z75" s="107"/>
      <c r="AA75" s="107"/>
      <c r="AB75" s="107"/>
      <c r="AC75" s="107"/>
      <c r="AD75" s="107"/>
      <c r="AE75" s="107"/>
      <c r="AF75" s="107"/>
      <c r="AG75" s="107"/>
      <c r="AH75" s="107"/>
      <c r="AI75" s="107"/>
      <c r="AJ75" s="108"/>
      <c r="AK75" s="56"/>
      <c r="AL75" s="56"/>
      <c r="AM75" s="106" t="str">
        <f>IF([8]回答表!AD42="○",[8]回答表!B143,"")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IF([8]回答表!F17="水道事業",IF([8]回答表!X43="○","○",""),"")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IF([8]回答表!F17="水道事業",IF([8]回答表!X43="○",[8]回答表!B154,IF([8]回答表!AA43="○",[8]回答表!B201,"")),"")</f>
        <v/>
      </c>
      <c r="AN87" s="107"/>
      <c r="AO87" s="107"/>
      <c r="AP87" s="107"/>
      <c r="AQ87" s="107"/>
      <c r="AR87" s="107"/>
      <c r="AS87" s="107"/>
      <c r="AT87" s="107"/>
      <c r="AU87" s="107"/>
      <c r="AV87" s="107"/>
      <c r="AW87" s="107"/>
      <c r="AX87" s="107"/>
      <c r="AY87" s="107"/>
      <c r="AZ87" s="107"/>
      <c r="BA87" s="107"/>
      <c r="BB87" s="108"/>
      <c r="BC87" s="40"/>
      <c r="BD87" s="35"/>
      <c r="BE87" s="115" t="str">
        <f>IF([8]回答表!F17="水道事業",IF([8]回答表!X43="○",[8]回答表!B190,IF([8]回答表!AA43="○",[8]回答表!B238,"")),"")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IF([8]回答表!F17="水道事業",IF([8]回答表!X43="○",[8]回答表!J162,IF([8]回答表!AA43="○",[8]回答表!J209,"")),"")</f>
        <v/>
      </c>
      <c r="V89" s="119"/>
      <c r="W89" s="119"/>
      <c r="X89" s="119"/>
      <c r="Y89" s="119"/>
      <c r="Z89" s="119"/>
      <c r="AA89" s="119"/>
      <c r="AB89" s="120"/>
      <c r="AC89" s="118" t="str">
        <f>IF([8]回答表!F17="水道事業",IF([8]回答表!X43="○",[8]回答表!J169,IF([8]回答表!AA43="○",[8]回答表!J216,"")),"")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IF([8]回答表!F17="水道事業",IF([8]回答表!X43="○",[8]回答表!E190,IF([8]回答表!AA43="○",[8]回答表!E238,"")),"")</f>
        <v/>
      </c>
      <c r="BF90" s="83"/>
      <c r="BG90" s="83"/>
      <c r="BH90" s="83"/>
      <c r="BI90" s="82" t="str">
        <f>IF([8]回答表!F17="水道事業",IF([8]回答表!X43="○",[8]回答表!E191,IF([8]回答表!AA43="○",[8]回答表!E239,"")),"")</f>
        <v/>
      </c>
      <c r="BJ90" s="83"/>
      <c r="BK90" s="83"/>
      <c r="BL90" s="83"/>
      <c r="BM90" s="82" t="str">
        <f>IF([8]回答表!F17="水道事業",IF([8]回答表!X43="○",[8]回答表!E192,IF([8]回答表!AA43="○",[8]回答表!E240,"")),"")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IF([8]回答表!F17="水道事業",IF([8]回答表!AA43="○","○",""),"")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IF([8]回答表!F17="水道事業",IF([8]回答表!X43="○",[8]回答表!J172,IF([8]回答表!AA43="○",[8]回答表!J219,"")),"")</f>
        <v/>
      </c>
      <c r="V94" s="119"/>
      <c r="W94" s="119"/>
      <c r="X94" s="119"/>
      <c r="Y94" s="119"/>
      <c r="Z94" s="119"/>
      <c r="AA94" s="119"/>
      <c r="AB94" s="120"/>
      <c r="AC94" s="118" t="str">
        <f>IF([8]回答表!F17="水道事業",IF([8]回答表!X43="○",[8]回答表!J176,IF([8]回答表!AA43="○",[8]回答表!J223,"")),"")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IF([8]回答表!F17="水道事業",IF([8]回答表!AD43="○","○",""),"")</f>
        <v/>
      </c>
      <c r="O99" s="98"/>
      <c r="P99" s="98"/>
      <c r="Q99" s="99"/>
      <c r="R99" s="39"/>
      <c r="S99" s="39"/>
      <c r="T99" s="39"/>
      <c r="U99" s="106" t="str">
        <f>IF([8]回答表!F17="水道事業",IF([8]回答表!AD43="○",[8]回答表!B249,""),"")</f>
        <v/>
      </c>
      <c r="V99" s="107"/>
      <c r="W99" s="107"/>
      <c r="X99" s="107"/>
      <c r="Y99" s="107"/>
      <c r="Z99" s="107"/>
      <c r="AA99" s="107"/>
      <c r="AB99" s="107"/>
      <c r="AC99" s="107"/>
      <c r="AD99" s="107"/>
      <c r="AE99" s="107"/>
      <c r="AF99" s="107"/>
      <c r="AG99" s="107"/>
      <c r="AH99" s="107"/>
      <c r="AI99" s="107"/>
      <c r="AJ99" s="108"/>
      <c r="AK99" s="56"/>
      <c r="AL99" s="56"/>
      <c r="AM99" s="106" t="str">
        <f>IF([8]回答表!F17="水道事業",IF([8]回答表!AD43="○",[8]回答表!B255,""),"")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IF([8]回答表!F17="簡易水道事業",IF([8]回答表!X43="○","○",""),"")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IF([8]回答表!F17="簡易水道事業",IF([8]回答表!X43="○",[8]回答表!B154,IF([8]回答表!AA43="○",[8]回答表!B201,"")),"")</f>
        <v/>
      </c>
      <c r="AN111" s="107"/>
      <c r="AO111" s="107"/>
      <c r="AP111" s="107"/>
      <c r="AQ111" s="107"/>
      <c r="AR111" s="107"/>
      <c r="AS111" s="107"/>
      <c r="AT111" s="107"/>
      <c r="AU111" s="107"/>
      <c r="AV111" s="107"/>
      <c r="AW111" s="107"/>
      <c r="AX111" s="107"/>
      <c r="AY111" s="107"/>
      <c r="AZ111" s="107"/>
      <c r="BA111" s="107"/>
      <c r="BB111" s="108"/>
      <c r="BC111" s="40"/>
      <c r="BD111" s="35"/>
      <c r="BE111" s="115" t="str">
        <f>IF([8]回答表!F17="簡易水道事業",IF([8]回答表!X43="○",[8]回答表!B190,IF([8]回答表!AA43="○",[8]回答表!B238,"")),"")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IF([8]回答表!F17="簡易水道事業",IF([8]回答表!X43="○",[8]回答表!Y181,IF([8]回答表!AA43="○",[8]回答表!Y229,"")),"")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IF([8]回答表!F17="簡易水道事業",IF([8]回答表!X43="○",[8]回答表!E190,IF([8]回答表!AA43="○",[8]回答表!E238,"")),"")</f>
        <v/>
      </c>
      <c r="BF114" s="83"/>
      <c r="BG114" s="83"/>
      <c r="BH114" s="83"/>
      <c r="BI114" s="82" t="str">
        <f>IF([8]回答表!F17="簡易水道事業",IF([8]回答表!X43="○",[8]回答表!E191,IF([8]回答表!AA43="○",[8]回答表!E239,"")),"")</f>
        <v/>
      </c>
      <c r="BJ114" s="83"/>
      <c r="BK114" s="83"/>
      <c r="BL114" s="83"/>
      <c r="BM114" s="82" t="str">
        <f>IF([8]回答表!F17="簡易水道事業",IF([8]回答表!X43="○",[8]回答表!E192,IF([8]回答表!AA43="○",[8]回答表!E240,"")),"")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IF([8]回答表!F17="簡易水道事業",IF([8]回答表!AA43="○","○",""),"")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IF([8]回答表!F17="簡易水道事業",IF([8]回答表!X43="○",[8]回答表!Y182,IF([8]回答表!AA43="○",[8]回答表!Y230,"")),"")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IF([8]回答表!F17="簡易水道事業",IF([8]回答表!AD43="○","○",""),"")</f>
        <v/>
      </c>
      <c r="O123" s="98"/>
      <c r="P123" s="98"/>
      <c r="Q123" s="99"/>
      <c r="R123" s="39"/>
      <c r="S123" s="39"/>
      <c r="T123" s="39"/>
      <c r="U123" s="106" t="str">
        <f>IF([8]回答表!F17="簡易水道事業",IF([8]回答表!AD43="○",[8]回答表!B249,""),"")</f>
        <v/>
      </c>
      <c r="V123" s="107"/>
      <c r="W123" s="107"/>
      <c r="X123" s="107"/>
      <c r="Y123" s="107"/>
      <c r="Z123" s="107"/>
      <c r="AA123" s="107"/>
      <c r="AB123" s="107"/>
      <c r="AC123" s="107"/>
      <c r="AD123" s="107"/>
      <c r="AE123" s="107"/>
      <c r="AF123" s="107"/>
      <c r="AG123" s="107"/>
      <c r="AH123" s="107"/>
      <c r="AI123" s="107"/>
      <c r="AJ123" s="108"/>
      <c r="AK123" s="56"/>
      <c r="AL123" s="56"/>
      <c r="AM123" s="106" t="str">
        <f>IF([8]回答表!F17="簡易水道事業",IF([8]回答表!AD43="○",[8]回答表!B255,""),"")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IF([8]回答表!F17="下水道事業",IF([8]回答表!X43="○","○",""),"")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IF([8]回答表!F17="下水道事業",IF([8]回答表!X43="○",[8]回答表!B154,IF([8]回答表!AA43="○",[8]回答表!B201,"")),"")</f>
        <v/>
      </c>
      <c r="AN135" s="107"/>
      <c r="AO135" s="107"/>
      <c r="AP135" s="107"/>
      <c r="AQ135" s="107"/>
      <c r="AR135" s="107"/>
      <c r="AS135" s="107"/>
      <c r="AT135" s="107"/>
      <c r="AU135" s="107"/>
      <c r="AV135" s="107"/>
      <c r="AW135" s="107"/>
      <c r="AX135" s="107"/>
      <c r="AY135" s="107"/>
      <c r="AZ135" s="107"/>
      <c r="BA135" s="107"/>
      <c r="BB135" s="108"/>
      <c r="BC135" s="40"/>
      <c r="BD135" s="35"/>
      <c r="BE135" s="115" t="str">
        <f>IF([8]回答表!F17="下水道事業",IF([8]回答表!X43="○",[8]回答表!B190,IF([8]回答表!AA43="○",[8]回答表!B238,"")),"")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IF([8]回答表!F17="下水道事業",IF([8]回答表!X43="○",[8]回答表!Y184,IF([8]回答表!AA43="○",[8]回答表!Y232,"")),"")</f>
        <v/>
      </c>
      <c r="V137" s="119"/>
      <c r="W137" s="119"/>
      <c r="X137" s="119"/>
      <c r="Y137" s="119"/>
      <c r="Z137" s="119"/>
      <c r="AA137" s="119"/>
      <c r="AB137" s="120"/>
      <c r="AC137" s="118" t="str">
        <f>IF([8]回答表!F17="下水道事業",IF([8]回答表!X43="○",[8]回答表!Y185,IF([8]回答表!AA43="○",[8]回答表!Y233,"")),"")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IF([8]回答表!F17="下水道事業",IF([8]回答表!X43="○",[8]回答表!E190,IF([8]回答表!AA43="○",[8]回答表!E238,"")),"")</f>
        <v/>
      </c>
      <c r="BF138" s="83"/>
      <c r="BG138" s="83"/>
      <c r="BH138" s="83"/>
      <c r="BI138" s="82" t="str">
        <f>IF([8]回答表!F17="下水道事業",IF([8]回答表!X43="○",[8]回答表!E191,IF([8]回答表!AA43="○",[8]回答表!E239,"")),"")</f>
        <v/>
      </c>
      <c r="BJ138" s="83"/>
      <c r="BK138" s="83"/>
      <c r="BL138" s="83"/>
      <c r="BM138" s="82" t="str">
        <f>IF([8]回答表!F17="下水道事業",IF([8]回答表!X43="○",[8]回答表!E192,IF([8]回答表!AA43="○",[8]回答表!E240,"")),"")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IF([8]回答表!F17="下水道事業",IF([8]回答表!AA43="○","○",""),"")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IF([8]回答表!F17="下水道事業",IF([8]回答表!X43="○",[8]回答表!Y186,IF([8]回答表!AA43="○",[8]回答表!Y234,"")),"")</f>
        <v/>
      </c>
      <c r="V142" s="119"/>
      <c r="W142" s="119"/>
      <c r="X142" s="119"/>
      <c r="Y142" s="119"/>
      <c r="Z142" s="119"/>
      <c r="AA142" s="119"/>
      <c r="AB142" s="120"/>
      <c r="AC142" s="118" t="str">
        <f>IF([8]回答表!F17="下水道事業",IF([8]回答表!X43="○",[8]回答表!Y187,IF([8]回答表!AA43="○",[8]回答表!Y235,"")),"")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IF([8]回答表!F17="下水道事業",IF([8]回答表!AD43="○","○",""),"")</f>
        <v/>
      </c>
      <c r="O147" s="98"/>
      <c r="P147" s="98"/>
      <c r="Q147" s="99"/>
      <c r="R147" s="39"/>
      <c r="S147" s="39"/>
      <c r="T147" s="39"/>
      <c r="U147" s="106" t="str">
        <f>IF([8]回答表!F17="下水道事業",IF([8]回答表!AD43="○",[8]回答表!B249,""),"")</f>
        <v/>
      </c>
      <c r="V147" s="107"/>
      <c r="W147" s="107"/>
      <c r="X147" s="107"/>
      <c r="Y147" s="107"/>
      <c r="Z147" s="107"/>
      <c r="AA147" s="107"/>
      <c r="AB147" s="107"/>
      <c r="AC147" s="107"/>
      <c r="AD147" s="107"/>
      <c r="AE147" s="107"/>
      <c r="AF147" s="107"/>
      <c r="AG147" s="107"/>
      <c r="AH147" s="107"/>
      <c r="AI147" s="107"/>
      <c r="AJ147" s="108"/>
      <c r="AK147" s="56"/>
      <c r="AL147" s="56"/>
      <c r="AM147" s="106" t="str">
        <f>IF([8]回答表!F17="下水道事業",IF([8]回答表!AD43="○",[8]回答表!B255,""),"")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IF([8]回答表!BD17="○",IF([8]回答表!X43="○","○",""),"")</f>
        <v/>
      </c>
      <c r="O159" s="98"/>
      <c r="P159" s="98"/>
      <c r="Q159" s="99"/>
      <c r="R159" s="39"/>
      <c r="S159" s="39"/>
      <c r="T159" s="39"/>
      <c r="U159" s="106" t="str">
        <f>IF([8]回答表!BD17="○",IF([8]回答表!X43="○",[8]回答表!B154,IF([8]回答表!AA43="○",[8]回答表!B201,"")),"")</f>
        <v/>
      </c>
      <c r="V159" s="107"/>
      <c r="W159" s="107"/>
      <c r="X159" s="107"/>
      <c r="Y159" s="107"/>
      <c r="Z159" s="107"/>
      <c r="AA159" s="107"/>
      <c r="AB159" s="107"/>
      <c r="AC159" s="107"/>
      <c r="AD159" s="107"/>
      <c r="AE159" s="107"/>
      <c r="AF159" s="107"/>
      <c r="AG159" s="107"/>
      <c r="AH159" s="107"/>
      <c r="AI159" s="107"/>
      <c r="AJ159" s="108"/>
      <c r="AK159" s="50"/>
      <c r="AL159" s="50"/>
      <c r="AM159" s="115" t="str">
        <f>IF([8]回答表!BD17="○",IF([8]回答表!X43="○",[8]回答表!B190,IF([8]回答表!AA43="○",[8]回答表!B238,"")),"")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IF([8]回答表!BD17="○",IF([8]回答表!X43="○",[8]回答表!E190,IF([8]回答表!AA43="○",[8]回答表!E238,"")),"")</f>
        <v/>
      </c>
      <c r="AN162" s="83"/>
      <c r="AO162" s="83"/>
      <c r="AP162" s="83"/>
      <c r="AQ162" s="82" t="str">
        <f>IF([8]回答表!BD17="○",IF([8]回答表!X43="○",[8]回答表!E191,IF([8]回答表!AA43="○",[8]回答表!E239,"")),"")</f>
        <v/>
      </c>
      <c r="AR162" s="83"/>
      <c r="AS162" s="83"/>
      <c r="AT162" s="83"/>
      <c r="AU162" s="82" t="str">
        <f>IF([8]回答表!BD17="○",IF([8]回答表!X43="○",[8]回答表!E192,IF([8]回答表!AA43="○",[8]回答表!E240,"")),"")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IF([8]回答表!BD17="○",IF([8]回答表!AA43="○","○",""),"")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IF([8]回答表!BD17="○",IF([8]回答表!AD43="○","○",""),"")</f>
        <v/>
      </c>
      <c r="O171" s="98"/>
      <c r="P171" s="98"/>
      <c r="Q171" s="99"/>
      <c r="R171" s="39"/>
      <c r="S171" s="39"/>
      <c r="T171" s="39"/>
      <c r="U171" s="106" t="str">
        <f>IF([8]回答表!BD17="○",IF([8]回答表!AD43="○",[8]回答表!B249,""),"")</f>
        <v/>
      </c>
      <c r="V171" s="107"/>
      <c r="W171" s="107"/>
      <c r="X171" s="107"/>
      <c r="Y171" s="107"/>
      <c r="Z171" s="107"/>
      <c r="AA171" s="107"/>
      <c r="AB171" s="107"/>
      <c r="AC171" s="107"/>
      <c r="AD171" s="107"/>
      <c r="AE171" s="107"/>
      <c r="AF171" s="107"/>
      <c r="AG171" s="107"/>
      <c r="AH171" s="107"/>
      <c r="AI171" s="107"/>
      <c r="AJ171" s="108"/>
      <c r="AK171" s="56"/>
      <c r="AL171" s="56"/>
      <c r="AM171" s="106" t="str">
        <f>IF([8]回答表!BD17="○",IF([8]回答表!AD43="○",[8]回答表!B255,""),"")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IF([8]回答表!X44="○","○","")</f>
        <v/>
      </c>
      <c r="O183" s="98"/>
      <c r="P183" s="98"/>
      <c r="Q183" s="99"/>
      <c r="R183" s="39"/>
      <c r="S183" s="39"/>
      <c r="T183" s="39"/>
      <c r="U183" s="106" t="str">
        <f>IF([8]回答表!X44="○",[8]回答表!B266,IF([8]回答表!AA44="○",[8]回答表!B283,""))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IF([8]回答表!X44="○",[8]回答表!U272,IF([8]回答表!AA44="○",[8]回答表!U289,""))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IF([8]回答表!X44="○",[8]回答表!G272,IF([8]回答表!AA44="○",[8]回答表!G289,""))</f>
        <v/>
      </c>
      <c r="AN186" s="119"/>
      <c r="AO186" s="119"/>
      <c r="AP186" s="119"/>
      <c r="AQ186" s="119"/>
      <c r="AR186" s="119"/>
      <c r="AS186" s="119"/>
      <c r="AT186" s="120"/>
      <c r="AU186" s="118" t="str">
        <f>IF([8]回答表!X44="○",[8]回答表!G273,IF([8]回答表!AA44="○",[8]回答表!G290,""))</f>
        <v/>
      </c>
      <c r="AV186" s="119"/>
      <c r="AW186" s="119"/>
      <c r="AX186" s="119"/>
      <c r="AY186" s="119"/>
      <c r="AZ186" s="119"/>
      <c r="BA186" s="119"/>
      <c r="BB186" s="120"/>
      <c r="BC186" s="40"/>
      <c r="BD186" s="35"/>
      <c r="BE186" s="82" t="str">
        <f>IF([8]回答表!X44="○",[8]回答表!X272,IF([8]回答表!AA44="○",[8]回答表!X289,""))</f>
        <v/>
      </c>
      <c r="BF186" s="83"/>
      <c r="BG186" s="83"/>
      <c r="BH186" s="83"/>
      <c r="BI186" s="82" t="str">
        <f>IF([8]回答表!X44="○",[8]回答表!X273,IF([8]回答表!AA44="○",[8]回答表!X290,""))</f>
        <v/>
      </c>
      <c r="BJ186" s="83"/>
      <c r="BK186" s="83"/>
      <c r="BL186" s="86"/>
      <c r="BM186" s="82" t="str">
        <f>IF([8]回答表!X44="○",[8]回答表!X274,IF([8]回答表!AA44="○",[8]回答表!X291,""))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IF([8]回答表!AA44="○","○","")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IF([8]回答表!AD44="○","○","")</f>
        <v/>
      </c>
      <c r="O195" s="98"/>
      <c r="P195" s="98"/>
      <c r="Q195" s="99"/>
      <c r="R195" s="39"/>
      <c r="S195" s="39"/>
      <c r="T195" s="39"/>
      <c r="U195" s="106" t="str">
        <f>IF([8]回答表!AD44="○",[8]回答表!B296,"")</f>
        <v/>
      </c>
      <c r="V195" s="107"/>
      <c r="W195" s="107"/>
      <c r="X195" s="107"/>
      <c r="Y195" s="107"/>
      <c r="Z195" s="107"/>
      <c r="AA195" s="107"/>
      <c r="AB195" s="107"/>
      <c r="AC195" s="107"/>
      <c r="AD195" s="107"/>
      <c r="AE195" s="107"/>
      <c r="AF195" s="107"/>
      <c r="AG195" s="107"/>
      <c r="AH195" s="107"/>
      <c r="AI195" s="107"/>
      <c r="AJ195" s="108"/>
      <c r="AK195" s="61"/>
      <c r="AL195" s="61"/>
      <c r="AM195" s="106" t="str">
        <f>IF([8]回答表!AD44="○",[8]回答表!B302,"")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IF([8]回答表!X45="○","○","")</f>
        <v/>
      </c>
      <c r="O207" s="98"/>
      <c r="P207" s="98"/>
      <c r="Q207" s="99"/>
      <c r="R207" s="39"/>
      <c r="S207" s="39"/>
      <c r="T207" s="39"/>
      <c r="U207" s="106" t="str">
        <f>IF([8]回答表!X45="○",[8]回答表!B314,IF([8]回答表!AA45="○",[8]回答表!B337,""))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IF([8]回答表!X45="○",[8]回答表!B320,"")</f>
        <v/>
      </c>
      <c r="AO207" s="164"/>
      <c r="AP207" s="164"/>
      <c r="AQ207" s="164"/>
      <c r="AR207" s="164"/>
      <c r="AS207" s="164"/>
      <c r="AT207" s="164"/>
      <c r="AU207" s="164"/>
      <c r="AV207" s="164"/>
      <c r="AW207" s="164"/>
      <c r="AX207" s="164"/>
      <c r="AY207" s="164"/>
      <c r="AZ207" s="164"/>
      <c r="BA207" s="164"/>
      <c r="BB207" s="165"/>
      <c r="BC207" s="40"/>
      <c r="BD207" s="35"/>
      <c r="BE207" s="115" t="str">
        <f>IF([8]回答表!X45="○",[8]回答表!B326,IF([8]回答表!AA45="○",[8]回答表!B343,""))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IF([8]回答表!X45="○",[8]回答表!E326,IF([8]回答表!AA45="○",[8]回答表!E343,""))</f>
        <v/>
      </c>
      <c r="BF210" s="83"/>
      <c r="BG210" s="83"/>
      <c r="BH210" s="83"/>
      <c r="BI210" s="82" t="str">
        <f>IF([8]回答表!X45="○",[8]回答表!E327,IF([8]回答表!AA45="○",[8]回答表!E344,""))</f>
        <v/>
      </c>
      <c r="BJ210" s="83"/>
      <c r="BK210" s="83"/>
      <c r="BL210" s="86"/>
      <c r="BM210" s="82" t="str">
        <f>IF([8]回答表!X45="○",[8]回答表!E328,IF([8]回答表!AA45="○",[8]回答表!E345,""))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IF([8]回答表!AA45="○","○","")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IF([8]回答表!AD45="○","○","")</f>
        <v/>
      </c>
      <c r="O219" s="98"/>
      <c r="P219" s="98"/>
      <c r="Q219" s="99"/>
      <c r="R219" s="39"/>
      <c r="S219" s="39"/>
      <c r="T219" s="39"/>
      <c r="U219" s="106" t="str">
        <f>IF([8]回答表!AD45="○",[8]回答表!B350,"")</f>
        <v/>
      </c>
      <c r="V219" s="107"/>
      <c r="W219" s="107"/>
      <c r="X219" s="107"/>
      <c r="Y219" s="107"/>
      <c r="Z219" s="107"/>
      <c r="AA219" s="107"/>
      <c r="AB219" s="107"/>
      <c r="AC219" s="107"/>
      <c r="AD219" s="107"/>
      <c r="AE219" s="107"/>
      <c r="AF219" s="107"/>
      <c r="AG219" s="107"/>
      <c r="AH219" s="107"/>
      <c r="AI219" s="107"/>
      <c r="AJ219" s="108"/>
      <c r="AK219" s="61"/>
      <c r="AL219" s="61"/>
      <c r="AM219" s="106" t="str">
        <f>IF([8]回答表!AD45="○",[8]回答表!B356,"")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IF([8]回答表!X46="○","○","")</f>
        <v/>
      </c>
      <c r="O231" s="98"/>
      <c r="P231" s="98"/>
      <c r="Q231" s="99"/>
      <c r="R231" s="39"/>
      <c r="S231" s="39"/>
      <c r="T231" s="39"/>
      <c r="U231" s="106" t="str">
        <f>IF([8]回答表!X46="○",[8]回答表!B368,IF([8]回答表!AA46="○",[8]回答表!B382,""))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IF([8]回答表!X46="○",[8]回答表!BC375,IF([8]回答表!AA46="○",[8]回答表!BC389,""))</f>
        <v/>
      </c>
      <c r="AR231" s="150"/>
      <c r="AS231" s="150"/>
      <c r="AT231" s="150"/>
      <c r="AU231" s="155" t="s">
        <v>63</v>
      </c>
      <c r="AV231" s="156"/>
      <c r="AW231" s="156"/>
      <c r="AX231" s="157"/>
      <c r="AY231" s="150" t="str">
        <f>IF([8]回答表!X46="○",[8]回答表!BC380,IF([8]回答表!AA46="○",[8]回答表!BC394,""))</f>
        <v/>
      </c>
      <c r="AZ231" s="150"/>
      <c r="BA231" s="150"/>
      <c r="BB231" s="150"/>
      <c r="BC231" s="40"/>
      <c r="BD231" s="35"/>
      <c r="BE231" s="115" t="str">
        <f>IF([8]回答表!X46="○",[8]回答表!S374,IF([8]回答表!AA46="○",[8]回答表!S388,""))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IF([8]回答表!X46="○",[8]回答表!BC376,IF([8]回答表!AA46="○",[8]回答表!BC390,""))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IF([8]回答表!X46="○",[8]回答表!V374,IF([8]回答表!AA46="○",[8]回答表!V388,""))</f>
        <v/>
      </c>
      <c r="BF234" s="83"/>
      <c r="BG234" s="83"/>
      <c r="BH234" s="83"/>
      <c r="BI234" s="82" t="str">
        <f>IF([8]回答表!X46="○",[8]回答表!V375,IF([8]回答表!AA46="○",[8]回答表!V389,""))</f>
        <v/>
      </c>
      <c r="BJ234" s="83"/>
      <c r="BK234" s="83"/>
      <c r="BL234" s="86"/>
      <c r="BM234" s="82" t="str">
        <f>IF([8]回答表!X46="○",[8]回答表!V376,IF([8]回答表!AA46="○",[8]回答表!V390,""))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IF([8]回答表!X46="○",[8]回答表!BC377,IF([8]回答表!AA46="○",[8]回答表!BC391,""))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IF([8]回答表!X46="○",[8]回答表!BC381,IF([8]回答表!AA46="○",[8]回答表!BC395,""))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IF([8]回答表!AA46="○","○","")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IF([8]回答表!X46="○",[8]回答表!BC378,IF([8]回答表!AA46="○",[8]回答表!BC392,""))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IF([8]回答表!X46="○",[8]回答表!BC379,IF([8]回答表!AA46="○",[8]回答表!BC393,""))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IF([8]回答表!AD46="○","○","")</f>
        <v/>
      </c>
      <c r="O243" s="98"/>
      <c r="P243" s="98"/>
      <c r="Q243" s="99"/>
      <c r="R243" s="39"/>
      <c r="S243" s="39"/>
      <c r="T243" s="39"/>
      <c r="U243" s="106" t="str">
        <f>IF([8]回答表!AD46="○",[8]回答表!B396,"")</f>
        <v/>
      </c>
      <c r="V243" s="107"/>
      <c r="W243" s="107"/>
      <c r="X243" s="107"/>
      <c r="Y243" s="107"/>
      <c r="Z243" s="107"/>
      <c r="AA243" s="107"/>
      <c r="AB243" s="107"/>
      <c r="AC243" s="107"/>
      <c r="AD243" s="107"/>
      <c r="AE243" s="107"/>
      <c r="AF243" s="107"/>
      <c r="AG243" s="107"/>
      <c r="AH243" s="107"/>
      <c r="AI243" s="107"/>
      <c r="AJ243" s="108"/>
      <c r="AK243" s="56"/>
      <c r="AL243" s="56"/>
      <c r="AM243" s="106" t="str">
        <f>IF([8]回答表!AD46="○",[8]回答表!B402,"")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IF([8]回答表!X47="○","○","")</f>
        <v/>
      </c>
      <c r="O254" s="98"/>
      <c r="P254" s="98"/>
      <c r="Q254" s="99"/>
      <c r="R254" s="39"/>
      <c r="S254" s="39"/>
      <c r="T254" s="39"/>
      <c r="U254" s="106" t="str">
        <f>IF([8]回答表!X47="○",[8]回答表!B414,IF([8]回答表!AA47="○",[8]回答表!B431,""))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IF([8]回答表!X47="○",[8]回答表!B424,IF([8]回答表!AA47="○",[8]回答表!B441,""))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IF([8]回答表!X47="○",[8]回答表!G420,IF([8]回答表!AA47="○",[8]回答表!G437,""))</f>
        <v/>
      </c>
      <c r="AN256" s="119"/>
      <c r="AO256" s="119"/>
      <c r="AP256" s="119"/>
      <c r="AQ256" s="119"/>
      <c r="AR256" s="119"/>
      <c r="AS256" s="119"/>
      <c r="AT256" s="120"/>
      <c r="AU256" s="118" t="str">
        <f>IF([8]回答表!X47="○",[8]回答表!G421,IF([8]回答表!AA47="○",[8]回答表!G438,""))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IF([8]回答表!X47="○",[8]回答表!E424,IF([8]回答表!AA47="○",[8]回答表!E441,""))</f>
        <v/>
      </c>
      <c r="BF257" s="83"/>
      <c r="BG257" s="83"/>
      <c r="BH257" s="83"/>
      <c r="BI257" s="82" t="str">
        <f>IF([8]回答表!X47="○",[8]回答表!E425,IF([8]回答表!AA47="○",[8]回答表!E442,""))</f>
        <v/>
      </c>
      <c r="BJ257" s="83"/>
      <c r="BK257" s="83"/>
      <c r="BL257" s="86"/>
      <c r="BM257" s="82" t="str">
        <f>IF([8]回答表!X47="○",[8]回答表!E426,IF([8]回答表!AA47="○",[8]回答表!E443,""))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IF([8]回答表!AA47="○","○","")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IF([8]回答表!AD47="○","○","")</f>
        <v/>
      </c>
      <c r="O266" s="98"/>
      <c r="P266" s="98"/>
      <c r="Q266" s="99"/>
      <c r="R266" s="39"/>
      <c r="S266" s="39"/>
      <c r="T266" s="39"/>
      <c r="U266" s="106" t="str">
        <f>IF([8]回答表!AD47="○",[8]回答表!B448,"")</f>
        <v/>
      </c>
      <c r="V266" s="107"/>
      <c r="W266" s="107"/>
      <c r="X266" s="107"/>
      <c r="Y266" s="107"/>
      <c r="Z266" s="107"/>
      <c r="AA266" s="107"/>
      <c r="AB266" s="107"/>
      <c r="AC266" s="107"/>
      <c r="AD266" s="107"/>
      <c r="AE266" s="107"/>
      <c r="AF266" s="107"/>
      <c r="AG266" s="107"/>
      <c r="AH266" s="107"/>
      <c r="AI266" s="107"/>
      <c r="AJ266" s="108"/>
      <c r="AK266" s="50"/>
      <c r="AL266" s="50"/>
      <c r="AM266" s="106" t="str">
        <f>IF([8]回答表!AD47="○",[8]回答表!B454,"")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IF([8]回答表!R48="○",[8]回答表!B467,"")</f>
        <v>抜本的な改革の方向性について検討の前段階にある。
また、市直営施設としての運営にあたり、民間事業所では受け入れ困難なケース及び、多様化する住民ニーズに応えながら、迅速かつ公平なサービス提供を継続する必要がある。
今後は、事務及び事業の効率化と簡素化を考慮した事業展開を行っていく。介護職の人材不足により、近い将来指定管理制度の導入や一部業務の民間委託も視野に検討していく。</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DA4B-25B1-41B3-AA0A-8E5B04B2838F}">
  <sheetPr>
    <pageSetUpPr fitToPage="1"/>
  </sheetPr>
  <dimension ref="A1:CE298"/>
  <sheetViews>
    <sheetView showZeros="0" zoomScale="55" zoomScaleNormal="55" workbookViewId="0">
      <selection activeCell="BR48" sqref="BR48"/>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245" t="s">
        <v>0</v>
      </c>
      <c r="D8" s="246"/>
      <c r="E8" s="246"/>
      <c r="F8" s="246"/>
      <c r="G8" s="246"/>
      <c r="H8" s="246"/>
      <c r="I8" s="246"/>
      <c r="J8" s="246"/>
      <c r="K8" s="246"/>
      <c r="L8" s="246"/>
      <c r="M8" s="246"/>
      <c r="N8" s="246"/>
      <c r="O8" s="246"/>
      <c r="P8" s="246"/>
      <c r="Q8" s="246"/>
      <c r="R8" s="246"/>
      <c r="S8" s="246"/>
      <c r="T8" s="246"/>
      <c r="U8" s="247" t="s">
        <v>1</v>
      </c>
      <c r="V8" s="248"/>
      <c r="W8" s="248"/>
      <c r="X8" s="248"/>
      <c r="Y8" s="248"/>
      <c r="Z8" s="248"/>
      <c r="AA8" s="248"/>
      <c r="AB8" s="248"/>
      <c r="AC8" s="248"/>
      <c r="AD8" s="248"/>
      <c r="AE8" s="248"/>
      <c r="AF8" s="248"/>
      <c r="AG8" s="248"/>
      <c r="AH8" s="248"/>
      <c r="AI8" s="248"/>
      <c r="AJ8" s="248"/>
      <c r="AK8" s="248"/>
      <c r="AL8" s="248"/>
      <c r="AM8" s="248"/>
      <c r="AN8" s="249"/>
      <c r="AO8" s="250" t="s">
        <v>2</v>
      </c>
      <c r="AP8" s="248"/>
      <c r="AQ8" s="248"/>
      <c r="AR8" s="248"/>
      <c r="AS8" s="248"/>
      <c r="AT8" s="248"/>
      <c r="AU8" s="248"/>
      <c r="AV8" s="248"/>
      <c r="AW8" s="248"/>
      <c r="AX8" s="248"/>
      <c r="AY8" s="248"/>
      <c r="AZ8" s="248"/>
      <c r="BA8" s="248"/>
      <c r="BB8" s="248"/>
      <c r="BC8" s="248"/>
      <c r="BD8" s="248"/>
      <c r="BE8" s="249"/>
      <c r="BF8" s="245" t="s">
        <v>3</v>
      </c>
      <c r="BG8" s="251"/>
      <c r="BH8" s="251"/>
      <c r="BI8" s="251"/>
      <c r="BJ8" s="251"/>
      <c r="BK8" s="251"/>
      <c r="BL8" s="251"/>
      <c r="BM8" s="251"/>
      <c r="BN8" s="251"/>
      <c r="BO8" s="251"/>
      <c r="BP8" s="251"/>
      <c r="BQ8" s="8"/>
    </row>
    <row r="9" spans="3:70" ht="15.6" customHeight="1" x14ac:dyDescent="0.4">
      <c r="C9" s="246"/>
      <c r="D9" s="246"/>
      <c r="E9" s="246"/>
      <c r="F9" s="246"/>
      <c r="G9" s="246"/>
      <c r="H9" s="246"/>
      <c r="I9" s="246"/>
      <c r="J9" s="246"/>
      <c r="K9" s="246"/>
      <c r="L9" s="246"/>
      <c r="M9" s="246"/>
      <c r="N9" s="246"/>
      <c r="O9" s="246"/>
      <c r="P9" s="246"/>
      <c r="Q9" s="246"/>
      <c r="R9" s="246"/>
      <c r="S9" s="246"/>
      <c r="T9" s="246"/>
      <c r="U9" s="201"/>
      <c r="V9" s="199"/>
      <c r="W9" s="199"/>
      <c r="X9" s="199"/>
      <c r="Y9" s="199"/>
      <c r="Z9" s="199"/>
      <c r="AA9" s="199"/>
      <c r="AB9" s="199"/>
      <c r="AC9" s="199"/>
      <c r="AD9" s="199"/>
      <c r="AE9" s="199"/>
      <c r="AF9" s="199"/>
      <c r="AG9" s="199"/>
      <c r="AH9" s="199"/>
      <c r="AI9" s="199"/>
      <c r="AJ9" s="199"/>
      <c r="AK9" s="199"/>
      <c r="AL9" s="199"/>
      <c r="AM9" s="199"/>
      <c r="AN9" s="200"/>
      <c r="AO9" s="201"/>
      <c r="AP9" s="199"/>
      <c r="AQ9" s="199"/>
      <c r="AR9" s="199"/>
      <c r="AS9" s="199"/>
      <c r="AT9" s="199"/>
      <c r="AU9" s="199"/>
      <c r="AV9" s="199"/>
      <c r="AW9" s="199"/>
      <c r="AX9" s="199"/>
      <c r="AY9" s="199"/>
      <c r="AZ9" s="199"/>
      <c r="BA9" s="199"/>
      <c r="BB9" s="199"/>
      <c r="BC9" s="199"/>
      <c r="BD9" s="199"/>
      <c r="BE9" s="200"/>
      <c r="BF9" s="251"/>
      <c r="BG9" s="251"/>
      <c r="BH9" s="251"/>
      <c r="BI9" s="251"/>
      <c r="BJ9" s="251"/>
      <c r="BK9" s="251"/>
      <c r="BL9" s="251"/>
      <c r="BM9" s="251"/>
      <c r="BN9" s="251"/>
      <c r="BO9" s="251"/>
      <c r="BP9" s="251"/>
      <c r="BQ9" s="8"/>
    </row>
    <row r="10" spans="3:70" ht="15.6" customHeight="1" x14ac:dyDescent="0.4">
      <c r="C10" s="246"/>
      <c r="D10" s="246"/>
      <c r="E10" s="246"/>
      <c r="F10" s="246"/>
      <c r="G10" s="246"/>
      <c r="H10" s="246"/>
      <c r="I10" s="246"/>
      <c r="J10" s="246"/>
      <c r="K10" s="246"/>
      <c r="L10" s="246"/>
      <c r="M10" s="246"/>
      <c r="N10" s="246"/>
      <c r="O10" s="246"/>
      <c r="P10" s="246"/>
      <c r="Q10" s="246"/>
      <c r="R10" s="246"/>
      <c r="S10" s="246"/>
      <c r="T10" s="246"/>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51"/>
      <c r="BG10" s="251"/>
      <c r="BH10" s="251"/>
      <c r="BI10" s="251"/>
      <c r="BJ10" s="251"/>
      <c r="BK10" s="251"/>
      <c r="BL10" s="251"/>
      <c r="BM10" s="251"/>
      <c r="BN10" s="251"/>
      <c r="BO10" s="251"/>
      <c r="BP10" s="251"/>
      <c r="BQ10" s="8"/>
    </row>
    <row r="11" spans="3:70" ht="15.6" customHeight="1" x14ac:dyDescent="0.4">
      <c r="C11" s="252" t="str">
        <f>IF(COUNTIF([6]回答表!K15,"*")&gt;0,[6]回答表!K15,"")</f>
        <v>横手市</v>
      </c>
      <c r="D11" s="246"/>
      <c r="E11" s="246"/>
      <c r="F11" s="246"/>
      <c r="G11" s="246"/>
      <c r="H11" s="246"/>
      <c r="I11" s="246"/>
      <c r="J11" s="246"/>
      <c r="K11" s="246"/>
      <c r="L11" s="246"/>
      <c r="M11" s="246"/>
      <c r="N11" s="246"/>
      <c r="O11" s="246"/>
      <c r="P11" s="246"/>
      <c r="Q11" s="246"/>
      <c r="R11" s="246"/>
      <c r="S11" s="246"/>
      <c r="T11" s="246"/>
      <c r="U11" s="253" t="str">
        <f>IF(COUNTIF([6]回答表!F17,"*")&gt;0,[6]回答表!F17,"")</f>
        <v>介護サービス事業</v>
      </c>
      <c r="V11" s="254"/>
      <c r="W11" s="254"/>
      <c r="X11" s="254"/>
      <c r="Y11" s="254"/>
      <c r="Z11" s="254"/>
      <c r="AA11" s="254"/>
      <c r="AB11" s="254"/>
      <c r="AC11" s="254"/>
      <c r="AD11" s="254"/>
      <c r="AE11" s="254"/>
      <c r="AF11" s="248"/>
      <c r="AG11" s="248"/>
      <c r="AH11" s="248"/>
      <c r="AI11" s="248"/>
      <c r="AJ11" s="248"/>
      <c r="AK11" s="248"/>
      <c r="AL11" s="248"/>
      <c r="AM11" s="248"/>
      <c r="AN11" s="249"/>
      <c r="AO11" s="259" t="str">
        <f>IF(COUNTIF([6]回答表!W17,"*")&gt;0,[6]回答表!W17,"")</f>
        <v>老人デイサービスセンター</v>
      </c>
      <c r="AP11" s="248"/>
      <c r="AQ11" s="248"/>
      <c r="AR11" s="248"/>
      <c r="AS11" s="248"/>
      <c r="AT11" s="248"/>
      <c r="AU11" s="248"/>
      <c r="AV11" s="248"/>
      <c r="AW11" s="248"/>
      <c r="AX11" s="248"/>
      <c r="AY11" s="248"/>
      <c r="AZ11" s="248"/>
      <c r="BA11" s="248"/>
      <c r="BB11" s="248"/>
      <c r="BC11" s="248"/>
      <c r="BD11" s="248"/>
      <c r="BE11" s="249"/>
      <c r="BF11" s="252" t="str">
        <f>IF(COUNTIF([6]回答表!F19,"*")&gt;0,[6]回答表!F19,"")</f>
        <v>市営介護サービス事業特別会計</v>
      </c>
      <c r="BG11" s="251"/>
      <c r="BH11" s="251"/>
      <c r="BI11" s="251"/>
      <c r="BJ11" s="251"/>
      <c r="BK11" s="251"/>
      <c r="BL11" s="251"/>
      <c r="BM11" s="251"/>
      <c r="BN11" s="251"/>
      <c r="BO11" s="251"/>
      <c r="BP11" s="251"/>
      <c r="BQ11" s="6"/>
    </row>
    <row r="12" spans="3:70" ht="15.6" customHeight="1" x14ac:dyDescent="0.4">
      <c r="C12" s="246"/>
      <c r="D12" s="246"/>
      <c r="E12" s="246"/>
      <c r="F12" s="246"/>
      <c r="G12" s="246"/>
      <c r="H12" s="246"/>
      <c r="I12" s="246"/>
      <c r="J12" s="246"/>
      <c r="K12" s="246"/>
      <c r="L12" s="246"/>
      <c r="M12" s="246"/>
      <c r="N12" s="246"/>
      <c r="O12" s="246"/>
      <c r="P12" s="246"/>
      <c r="Q12" s="246"/>
      <c r="R12" s="246"/>
      <c r="S12" s="246"/>
      <c r="T12" s="246"/>
      <c r="U12" s="255"/>
      <c r="V12" s="256"/>
      <c r="W12" s="256"/>
      <c r="X12" s="256"/>
      <c r="Y12" s="256"/>
      <c r="Z12" s="256"/>
      <c r="AA12" s="256"/>
      <c r="AB12" s="256"/>
      <c r="AC12" s="256"/>
      <c r="AD12" s="256"/>
      <c r="AE12" s="256"/>
      <c r="AF12" s="199"/>
      <c r="AG12" s="199"/>
      <c r="AH12" s="199"/>
      <c r="AI12" s="199"/>
      <c r="AJ12" s="199"/>
      <c r="AK12" s="199"/>
      <c r="AL12" s="199"/>
      <c r="AM12" s="199"/>
      <c r="AN12" s="200"/>
      <c r="AO12" s="201"/>
      <c r="AP12" s="199"/>
      <c r="AQ12" s="199"/>
      <c r="AR12" s="199"/>
      <c r="AS12" s="199"/>
      <c r="AT12" s="199"/>
      <c r="AU12" s="199"/>
      <c r="AV12" s="199"/>
      <c r="AW12" s="199"/>
      <c r="AX12" s="199"/>
      <c r="AY12" s="199"/>
      <c r="AZ12" s="199"/>
      <c r="BA12" s="199"/>
      <c r="BB12" s="199"/>
      <c r="BC12" s="199"/>
      <c r="BD12" s="199"/>
      <c r="BE12" s="200"/>
      <c r="BF12" s="251"/>
      <c r="BG12" s="251"/>
      <c r="BH12" s="251"/>
      <c r="BI12" s="251"/>
      <c r="BJ12" s="251"/>
      <c r="BK12" s="251"/>
      <c r="BL12" s="251"/>
      <c r="BM12" s="251"/>
      <c r="BN12" s="251"/>
      <c r="BO12" s="251"/>
      <c r="BP12" s="251"/>
      <c r="BQ12" s="6"/>
    </row>
    <row r="13" spans="3:70" ht="15.6" customHeight="1" x14ac:dyDescent="0.4">
      <c r="C13" s="246"/>
      <c r="D13" s="246"/>
      <c r="E13" s="246"/>
      <c r="F13" s="246"/>
      <c r="G13" s="246"/>
      <c r="H13" s="246"/>
      <c r="I13" s="246"/>
      <c r="J13" s="246"/>
      <c r="K13" s="246"/>
      <c r="L13" s="246"/>
      <c r="M13" s="246"/>
      <c r="N13" s="246"/>
      <c r="O13" s="246"/>
      <c r="P13" s="246"/>
      <c r="Q13" s="246"/>
      <c r="R13" s="246"/>
      <c r="S13" s="246"/>
      <c r="T13" s="246"/>
      <c r="U13" s="257"/>
      <c r="V13" s="258"/>
      <c r="W13" s="258"/>
      <c r="X13" s="258"/>
      <c r="Y13" s="258"/>
      <c r="Z13" s="258"/>
      <c r="AA13" s="258"/>
      <c r="AB13" s="258"/>
      <c r="AC13" s="258"/>
      <c r="AD13" s="258"/>
      <c r="AE13" s="258"/>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51"/>
      <c r="BG13" s="251"/>
      <c r="BH13" s="251"/>
      <c r="BI13" s="251"/>
      <c r="BJ13" s="251"/>
      <c r="BK13" s="251"/>
      <c r="BL13" s="251"/>
      <c r="BM13" s="251"/>
      <c r="BN13" s="251"/>
      <c r="BO13" s="251"/>
      <c r="BP13" s="251"/>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212" t="s">
        <v>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5"/>
      <c r="BB18" s="15"/>
      <c r="BC18" s="15"/>
      <c r="BD18" s="15"/>
      <c r="BE18" s="15"/>
      <c r="BF18" s="15"/>
      <c r="BG18" s="15"/>
      <c r="BH18" s="15"/>
      <c r="BI18" s="15"/>
      <c r="BJ18" s="15"/>
      <c r="BK18" s="16"/>
      <c r="BR18" s="13"/>
    </row>
    <row r="19" spans="3:83" ht="15.6" customHeight="1" x14ac:dyDescent="0.4">
      <c r="C19" s="14"/>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5"/>
      <c r="BB19" s="15"/>
      <c r="BC19" s="15"/>
      <c r="BD19" s="15"/>
      <c r="BE19" s="15"/>
      <c r="BF19" s="15"/>
      <c r="BG19" s="15"/>
      <c r="BH19" s="15"/>
      <c r="BI19" s="15"/>
      <c r="BJ19" s="15"/>
      <c r="BK19" s="16"/>
      <c r="BR19" s="13"/>
    </row>
    <row r="20" spans="3:83" ht="13.35" customHeight="1" x14ac:dyDescent="0.4">
      <c r="C20" s="14"/>
      <c r="D20" s="218" t="s">
        <v>5</v>
      </c>
      <c r="E20" s="219"/>
      <c r="F20" s="219"/>
      <c r="G20" s="219"/>
      <c r="H20" s="219"/>
      <c r="I20" s="219"/>
      <c r="J20" s="220"/>
      <c r="K20" s="218" t="s">
        <v>6</v>
      </c>
      <c r="L20" s="219"/>
      <c r="M20" s="219"/>
      <c r="N20" s="219"/>
      <c r="O20" s="219"/>
      <c r="P20" s="219"/>
      <c r="Q20" s="220"/>
      <c r="R20" s="218" t="s">
        <v>7</v>
      </c>
      <c r="S20" s="219"/>
      <c r="T20" s="219"/>
      <c r="U20" s="219"/>
      <c r="V20" s="219"/>
      <c r="W20" s="219"/>
      <c r="X20" s="220"/>
      <c r="Y20" s="227" t="s">
        <v>8</v>
      </c>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9"/>
      <c r="BA20" s="17"/>
      <c r="BB20" s="236" t="s">
        <v>9</v>
      </c>
      <c r="BC20" s="237"/>
      <c r="BD20" s="237"/>
      <c r="BE20" s="237"/>
      <c r="BF20" s="237"/>
      <c r="BG20" s="237"/>
      <c r="BH20" s="237"/>
      <c r="BI20" s="205"/>
      <c r="BJ20" s="206"/>
      <c r="BK20" s="16"/>
      <c r="BR20" s="18"/>
    </row>
    <row r="21" spans="3:83" ht="13.35" customHeight="1" x14ac:dyDescent="0.4">
      <c r="C21" s="14"/>
      <c r="D21" s="221"/>
      <c r="E21" s="222"/>
      <c r="F21" s="222"/>
      <c r="G21" s="222"/>
      <c r="H21" s="222"/>
      <c r="I21" s="222"/>
      <c r="J21" s="223"/>
      <c r="K21" s="221"/>
      <c r="L21" s="222"/>
      <c r="M21" s="222"/>
      <c r="N21" s="222"/>
      <c r="O21" s="222"/>
      <c r="P21" s="222"/>
      <c r="Q21" s="223"/>
      <c r="R21" s="221"/>
      <c r="S21" s="222"/>
      <c r="T21" s="222"/>
      <c r="U21" s="222"/>
      <c r="V21" s="222"/>
      <c r="W21" s="222"/>
      <c r="X21" s="223"/>
      <c r="Y21" s="230"/>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2"/>
      <c r="BA21" s="17"/>
      <c r="BB21" s="238"/>
      <c r="BC21" s="239"/>
      <c r="BD21" s="239"/>
      <c r="BE21" s="239"/>
      <c r="BF21" s="239"/>
      <c r="BG21" s="239"/>
      <c r="BH21" s="239"/>
      <c r="BI21" s="207"/>
      <c r="BJ21" s="208"/>
      <c r="BK21" s="16"/>
      <c r="BR21" s="18"/>
    </row>
    <row r="22" spans="3:83" ht="13.35" customHeight="1" x14ac:dyDescent="0.4">
      <c r="C22" s="14"/>
      <c r="D22" s="221"/>
      <c r="E22" s="222"/>
      <c r="F22" s="222"/>
      <c r="G22" s="222"/>
      <c r="H22" s="222"/>
      <c r="I22" s="222"/>
      <c r="J22" s="223"/>
      <c r="K22" s="221"/>
      <c r="L22" s="222"/>
      <c r="M22" s="222"/>
      <c r="N22" s="222"/>
      <c r="O22" s="222"/>
      <c r="P22" s="222"/>
      <c r="Q22" s="223"/>
      <c r="R22" s="221"/>
      <c r="S22" s="222"/>
      <c r="T22" s="222"/>
      <c r="U22" s="222"/>
      <c r="V22" s="222"/>
      <c r="W22" s="222"/>
      <c r="X22" s="223"/>
      <c r="Y22" s="233"/>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5"/>
      <c r="BA22" s="19"/>
      <c r="BB22" s="238"/>
      <c r="BC22" s="239"/>
      <c r="BD22" s="239"/>
      <c r="BE22" s="239"/>
      <c r="BF22" s="239"/>
      <c r="BG22" s="239"/>
      <c r="BH22" s="239"/>
      <c r="BI22" s="207"/>
      <c r="BJ22" s="208"/>
      <c r="BK22" s="16"/>
      <c r="BR22" s="18"/>
    </row>
    <row r="23" spans="3:83" ht="31.35" customHeight="1" x14ac:dyDescent="0.4">
      <c r="C23" s="14"/>
      <c r="D23" s="224"/>
      <c r="E23" s="225"/>
      <c r="F23" s="225"/>
      <c r="G23" s="225"/>
      <c r="H23" s="225"/>
      <c r="I23" s="225"/>
      <c r="J23" s="226"/>
      <c r="K23" s="224"/>
      <c r="L23" s="225"/>
      <c r="M23" s="225"/>
      <c r="N23" s="225"/>
      <c r="O23" s="225"/>
      <c r="P23" s="225"/>
      <c r="Q23" s="226"/>
      <c r="R23" s="224"/>
      <c r="S23" s="225"/>
      <c r="T23" s="225"/>
      <c r="U23" s="225"/>
      <c r="V23" s="225"/>
      <c r="W23" s="225"/>
      <c r="X23" s="226"/>
      <c r="Y23" s="242" t="s">
        <v>10</v>
      </c>
      <c r="Z23" s="243"/>
      <c r="AA23" s="243"/>
      <c r="AB23" s="243"/>
      <c r="AC23" s="243"/>
      <c r="AD23" s="243"/>
      <c r="AE23" s="244"/>
      <c r="AF23" s="242" t="s">
        <v>11</v>
      </c>
      <c r="AG23" s="243"/>
      <c r="AH23" s="243"/>
      <c r="AI23" s="243"/>
      <c r="AJ23" s="243"/>
      <c r="AK23" s="243"/>
      <c r="AL23" s="244"/>
      <c r="AM23" s="242" t="s">
        <v>12</v>
      </c>
      <c r="AN23" s="243"/>
      <c r="AO23" s="243"/>
      <c r="AP23" s="243"/>
      <c r="AQ23" s="243"/>
      <c r="AR23" s="243"/>
      <c r="AS23" s="244"/>
      <c r="AT23" s="242" t="s">
        <v>13</v>
      </c>
      <c r="AU23" s="243"/>
      <c r="AV23" s="243"/>
      <c r="AW23" s="243"/>
      <c r="AX23" s="243"/>
      <c r="AY23" s="243"/>
      <c r="AZ23" s="244"/>
      <c r="BA23" s="19"/>
      <c r="BB23" s="240"/>
      <c r="BC23" s="241"/>
      <c r="BD23" s="241"/>
      <c r="BE23" s="241"/>
      <c r="BF23" s="241"/>
      <c r="BG23" s="241"/>
      <c r="BH23" s="241"/>
      <c r="BI23" s="209"/>
      <c r="BJ23" s="210"/>
      <c r="BK23" s="16"/>
      <c r="BR23" s="18"/>
    </row>
    <row r="24" spans="3:83" ht="15.6" customHeight="1" x14ac:dyDescent="0.4">
      <c r="C24" s="14"/>
      <c r="D24" s="121" t="str">
        <f>IF([6]回答表!R41="○","○","")</f>
        <v/>
      </c>
      <c r="E24" s="122"/>
      <c r="F24" s="122"/>
      <c r="G24" s="122"/>
      <c r="H24" s="122"/>
      <c r="I24" s="122"/>
      <c r="J24" s="123"/>
      <c r="K24" s="121" t="str">
        <f>IF([6]回答表!R42="○","○","")</f>
        <v/>
      </c>
      <c r="L24" s="122"/>
      <c r="M24" s="122"/>
      <c r="N24" s="122"/>
      <c r="O24" s="122"/>
      <c r="P24" s="122"/>
      <c r="Q24" s="123"/>
      <c r="R24" s="121" t="str">
        <f>IF([6]回答表!R43="○","○","")</f>
        <v/>
      </c>
      <c r="S24" s="122"/>
      <c r="T24" s="122"/>
      <c r="U24" s="122"/>
      <c r="V24" s="122"/>
      <c r="W24" s="122"/>
      <c r="X24" s="123"/>
      <c r="Y24" s="121" t="str">
        <f>IF([6]回答表!R44="○","○","")</f>
        <v/>
      </c>
      <c r="Z24" s="122"/>
      <c r="AA24" s="122"/>
      <c r="AB24" s="122"/>
      <c r="AC24" s="122"/>
      <c r="AD24" s="122"/>
      <c r="AE24" s="123"/>
      <c r="AF24" s="121" t="str">
        <f>IF([6]回答表!R45="○","○","")</f>
        <v/>
      </c>
      <c r="AG24" s="122"/>
      <c r="AH24" s="122"/>
      <c r="AI24" s="122"/>
      <c r="AJ24" s="122"/>
      <c r="AK24" s="122"/>
      <c r="AL24" s="123"/>
      <c r="AM24" s="121" t="str">
        <f>IF([6]回答表!R46="○","○","")</f>
        <v/>
      </c>
      <c r="AN24" s="122"/>
      <c r="AO24" s="122"/>
      <c r="AP24" s="122"/>
      <c r="AQ24" s="122"/>
      <c r="AR24" s="122"/>
      <c r="AS24" s="123"/>
      <c r="AT24" s="121" t="str">
        <f>IF([6]回答表!R47="○","○","")</f>
        <v/>
      </c>
      <c r="AU24" s="122"/>
      <c r="AV24" s="122"/>
      <c r="AW24" s="122"/>
      <c r="AX24" s="122"/>
      <c r="AY24" s="122"/>
      <c r="AZ24" s="123"/>
      <c r="BA24" s="19"/>
      <c r="BB24" s="118" t="str">
        <f>IF([6]回答表!R48="○","○","")</f>
        <v>○</v>
      </c>
      <c r="BC24" s="119"/>
      <c r="BD24" s="119"/>
      <c r="BE24" s="119"/>
      <c r="BF24" s="119"/>
      <c r="BG24" s="119"/>
      <c r="BH24" s="119"/>
      <c r="BI24" s="205"/>
      <c r="BJ24" s="206"/>
      <c r="BK24" s="16"/>
      <c r="BR24" s="18"/>
    </row>
    <row r="25" spans="3:83" ht="15.6" customHeight="1" x14ac:dyDescent="0.4">
      <c r="C25" s="1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0"/>
      <c r="BB25" s="121"/>
      <c r="BC25" s="122"/>
      <c r="BD25" s="122"/>
      <c r="BE25" s="122"/>
      <c r="BF25" s="122"/>
      <c r="BG25" s="122"/>
      <c r="BH25" s="122"/>
      <c r="BI25" s="207"/>
      <c r="BJ25" s="208"/>
      <c r="BK25" s="16"/>
      <c r="BR25" s="18"/>
    </row>
    <row r="26" spans="3:83" ht="15.6" customHeight="1" x14ac:dyDescent="0.4">
      <c r="C26" s="1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0"/>
      <c r="BB26" s="124"/>
      <c r="BC26" s="125"/>
      <c r="BD26" s="125"/>
      <c r="BE26" s="125"/>
      <c r="BF26" s="125"/>
      <c r="BG26" s="125"/>
      <c r="BH26" s="125"/>
      <c r="BI26" s="209"/>
      <c r="BJ26" s="210"/>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7"/>
      <c r="AS31" s="127"/>
      <c r="AT31" s="127"/>
      <c r="AU31" s="127"/>
      <c r="AV31" s="127"/>
      <c r="AW31" s="127"/>
      <c r="AX31" s="127"/>
      <c r="AY31" s="127"/>
      <c r="AZ31" s="127"/>
      <c r="BA31" s="127"/>
      <c r="BB31" s="127"/>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28" t="s">
        <v>14</v>
      </c>
      <c r="E32" s="129"/>
      <c r="F32" s="129"/>
      <c r="G32" s="129"/>
      <c r="H32" s="129"/>
      <c r="I32" s="129"/>
      <c r="J32" s="129"/>
      <c r="K32" s="129"/>
      <c r="L32" s="129"/>
      <c r="M32" s="129"/>
      <c r="N32" s="129"/>
      <c r="O32" s="129"/>
      <c r="P32" s="129"/>
      <c r="Q32" s="130"/>
      <c r="R32" s="88" t="s">
        <v>5</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34"/>
      <c r="BD32" s="35"/>
      <c r="BE32" s="35"/>
      <c r="BF32" s="35"/>
      <c r="BG32" s="35"/>
      <c r="BH32" s="35"/>
      <c r="BI32" s="35"/>
      <c r="BJ32" s="35"/>
      <c r="BK32" s="35"/>
      <c r="BL32" s="35"/>
      <c r="BM32" s="36"/>
      <c r="BN32" s="36"/>
      <c r="BO32" s="36"/>
      <c r="BP32" s="37"/>
      <c r="BQ32" s="38"/>
      <c r="BR32" s="25"/>
    </row>
    <row r="33" spans="1:70" ht="15.6" customHeight="1" x14ac:dyDescent="0.5">
      <c r="C33" s="33"/>
      <c r="D33" s="131"/>
      <c r="E33" s="132"/>
      <c r="F33" s="132"/>
      <c r="G33" s="132"/>
      <c r="H33" s="132"/>
      <c r="I33" s="132"/>
      <c r="J33" s="132"/>
      <c r="K33" s="132"/>
      <c r="L33" s="132"/>
      <c r="M33" s="132"/>
      <c r="N33" s="132"/>
      <c r="O33" s="132"/>
      <c r="P33" s="132"/>
      <c r="Q33" s="133"/>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88" t="s">
        <v>18</v>
      </c>
      <c r="E36" s="89"/>
      <c r="F36" s="89"/>
      <c r="G36" s="89"/>
      <c r="H36" s="89"/>
      <c r="I36" s="89"/>
      <c r="J36" s="89"/>
      <c r="K36" s="89"/>
      <c r="L36" s="89"/>
      <c r="M36" s="90"/>
      <c r="N36" s="97" t="str">
        <f>IF([6]回答表!X41="○","○","")</f>
        <v/>
      </c>
      <c r="O36" s="98"/>
      <c r="P36" s="98"/>
      <c r="Q36" s="99"/>
      <c r="R36" s="39"/>
      <c r="S36" s="39"/>
      <c r="T36" s="39"/>
      <c r="U36" s="106" t="str">
        <f>IF([6]回答表!X41="○",[6]回答表!B56,IF([6]回答表!AA41="○",[6]回答表!B76,""))</f>
        <v/>
      </c>
      <c r="V36" s="107"/>
      <c r="W36" s="107"/>
      <c r="X36" s="107"/>
      <c r="Y36" s="107"/>
      <c r="Z36" s="107"/>
      <c r="AA36" s="107"/>
      <c r="AB36" s="107"/>
      <c r="AC36" s="107"/>
      <c r="AD36" s="107"/>
      <c r="AE36" s="107"/>
      <c r="AF36" s="107"/>
      <c r="AG36" s="107"/>
      <c r="AH36" s="107"/>
      <c r="AI36" s="107"/>
      <c r="AJ36" s="108"/>
      <c r="AK36" s="50"/>
      <c r="AL36" s="50"/>
      <c r="AM36" s="211" t="s">
        <v>19</v>
      </c>
      <c r="AN36" s="211"/>
      <c r="AO36" s="211"/>
      <c r="AP36" s="211"/>
      <c r="AQ36" s="211"/>
      <c r="AR36" s="211"/>
      <c r="AS36" s="211"/>
      <c r="AT36" s="211"/>
      <c r="AU36" s="211" t="s">
        <v>20</v>
      </c>
      <c r="AV36" s="211"/>
      <c r="AW36" s="211"/>
      <c r="AX36" s="211"/>
      <c r="AY36" s="211"/>
      <c r="AZ36" s="211"/>
      <c r="BA36" s="211"/>
      <c r="BB36" s="211"/>
      <c r="BC36" s="40"/>
      <c r="BD36" s="35"/>
      <c r="BE36" s="115" t="str">
        <f>IF([6]回答表!X41="○",[6]回答表!S62,IF([6]回答表!AA41="○",[6]回答表!S82,""))</f>
        <v/>
      </c>
      <c r="BF36" s="116"/>
      <c r="BG36" s="116"/>
      <c r="BH36" s="116"/>
      <c r="BI36" s="115"/>
      <c r="BJ36" s="116"/>
      <c r="BK36" s="116"/>
      <c r="BL36" s="116"/>
      <c r="BM36" s="115"/>
      <c r="BN36" s="116"/>
      <c r="BO36" s="116"/>
      <c r="BP36" s="117"/>
      <c r="BQ36" s="38"/>
      <c r="BR36" s="25"/>
    </row>
    <row r="37" spans="1:70" ht="15.6" customHeight="1" x14ac:dyDescent="0.4">
      <c r="A37" s="25"/>
      <c r="B37" s="25"/>
      <c r="C37" s="33"/>
      <c r="D37" s="91"/>
      <c r="E37" s="92"/>
      <c r="F37" s="92"/>
      <c r="G37" s="92"/>
      <c r="H37" s="92"/>
      <c r="I37" s="92"/>
      <c r="J37" s="92"/>
      <c r="K37" s="92"/>
      <c r="L37" s="92"/>
      <c r="M37" s="93"/>
      <c r="N37" s="100"/>
      <c r="O37" s="101"/>
      <c r="P37" s="101"/>
      <c r="Q37" s="102"/>
      <c r="R37" s="39"/>
      <c r="S37" s="39"/>
      <c r="T37" s="39"/>
      <c r="U37" s="109"/>
      <c r="V37" s="110"/>
      <c r="W37" s="110"/>
      <c r="X37" s="110"/>
      <c r="Y37" s="110"/>
      <c r="Z37" s="110"/>
      <c r="AA37" s="110"/>
      <c r="AB37" s="110"/>
      <c r="AC37" s="110"/>
      <c r="AD37" s="110"/>
      <c r="AE37" s="110"/>
      <c r="AF37" s="110"/>
      <c r="AG37" s="110"/>
      <c r="AH37" s="110"/>
      <c r="AI37" s="110"/>
      <c r="AJ37" s="111"/>
      <c r="AK37" s="50"/>
      <c r="AL37" s="50"/>
      <c r="AM37" s="211"/>
      <c r="AN37" s="211"/>
      <c r="AO37" s="211"/>
      <c r="AP37" s="211"/>
      <c r="AQ37" s="211"/>
      <c r="AR37" s="211"/>
      <c r="AS37" s="211"/>
      <c r="AT37" s="211"/>
      <c r="AU37" s="211"/>
      <c r="AV37" s="211"/>
      <c r="AW37" s="211"/>
      <c r="AX37" s="211"/>
      <c r="AY37" s="211"/>
      <c r="AZ37" s="211"/>
      <c r="BA37" s="211"/>
      <c r="BB37" s="211"/>
      <c r="BC37" s="40"/>
      <c r="BD37" s="35"/>
      <c r="BE37" s="82"/>
      <c r="BF37" s="83"/>
      <c r="BG37" s="83"/>
      <c r="BH37" s="83"/>
      <c r="BI37" s="82"/>
      <c r="BJ37" s="83"/>
      <c r="BK37" s="83"/>
      <c r="BL37" s="83"/>
      <c r="BM37" s="82"/>
      <c r="BN37" s="83"/>
      <c r="BO37" s="83"/>
      <c r="BP37" s="86"/>
      <c r="BQ37" s="38"/>
      <c r="BR37" s="25"/>
    </row>
    <row r="38" spans="1:70" ht="15.6" customHeight="1" x14ac:dyDescent="0.4">
      <c r="A38" s="25"/>
      <c r="B38" s="25"/>
      <c r="C38" s="33"/>
      <c r="D38" s="91"/>
      <c r="E38" s="92"/>
      <c r="F38" s="92"/>
      <c r="G38" s="92"/>
      <c r="H38" s="92"/>
      <c r="I38" s="92"/>
      <c r="J38" s="92"/>
      <c r="K38" s="92"/>
      <c r="L38" s="92"/>
      <c r="M38" s="93"/>
      <c r="N38" s="100"/>
      <c r="O38" s="101"/>
      <c r="P38" s="101"/>
      <c r="Q38" s="102"/>
      <c r="R38" s="39"/>
      <c r="S38" s="39"/>
      <c r="T38" s="39"/>
      <c r="U38" s="109"/>
      <c r="V38" s="110"/>
      <c r="W38" s="110"/>
      <c r="X38" s="110"/>
      <c r="Y38" s="110"/>
      <c r="Z38" s="110"/>
      <c r="AA38" s="110"/>
      <c r="AB38" s="110"/>
      <c r="AC38" s="110"/>
      <c r="AD38" s="110"/>
      <c r="AE38" s="110"/>
      <c r="AF38" s="110"/>
      <c r="AG38" s="110"/>
      <c r="AH38" s="110"/>
      <c r="AI38" s="110"/>
      <c r="AJ38" s="111"/>
      <c r="AK38" s="50"/>
      <c r="AL38" s="50"/>
      <c r="AM38" s="118" t="str">
        <f>IF([6]回答表!X41="○",[6]回答表!G62,IF([6]回答表!AA41="○",[6]回答表!G82,""))</f>
        <v/>
      </c>
      <c r="AN38" s="119"/>
      <c r="AO38" s="119"/>
      <c r="AP38" s="119"/>
      <c r="AQ38" s="119"/>
      <c r="AR38" s="119"/>
      <c r="AS38" s="119"/>
      <c r="AT38" s="120"/>
      <c r="AU38" s="118" t="str">
        <f>IF([6]回答表!X41="○",[6]回答表!G63,IF([6]回答表!AA41="○",[6]回答表!G83,""))</f>
        <v/>
      </c>
      <c r="AV38" s="119"/>
      <c r="AW38" s="119"/>
      <c r="AX38" s="119"/>
      <c r="AY38" s="119"/>
      <c r="AZ38" s="119"/>
      <c r="BA38" s="119"/>
      <c r="BB38" s="120"/>
      <c r="BC38" s="40"/>
      <c r="BD38" s="35"/>
      <c r="BE38" s="82"/>
      <c r="BF38" s="83"/>
      <c r="BG38" s="83"/>
      <c r="BH38" s="83"/>
      <c r="BI38" s="82"/>
      <c r="BJ38" s="83"/>
      <c r="BK38" s="83"/>
      <c r="BL38" s="83"/>
      <c r="BM38" s="82"/>
      <c r="BN38" s="83"/>
      <c r="BO38" s="83"/>
      <c r="BP38" s="86"/>
      <c r="BQ38" s="38"/>
      <c r="BR38" s="25"/>
    </row>
    <row r="39" spans="1:70" ht="15.6" customHeight="1" x14ac:dyDescent="0.4">
      <c r="A39" s="25"/>
      <c r="B39" s="25"/>
      <c r="C39" s="33"/>
      <c r="D39" s="94"/>
      <c r="E39" s="95"/>
      <c r="F39" s="95"/>
      <c r="G39" s="95"/>
      <c r="H39" s="95"/>
      <c r="I39" s="95"/>
      <c r="J39" s="95"/>
      <c r="K39" s="95"/>
      <c r="L39" s="95"/>
      <c r="M39" s="96"/>
      <c r="N39" s="103"/>
      <c r="O39" s="104"/>
      <c r="P39" s="104"/>
      <c r="Q39" s="105"/>
      <c r="R39" s="39"/>
      <c r="S39" s="39"/>
      <c r="T39" s="39"/>
      <c r="U39" s="109"/>
      <c r="V39" s="110"/>
      <c r="W39" s="110"/>
      <c r="X39" s="110"/>
      <c r="Y39" s="110"/>
      <c r="Z39" s="110"/>
      <c r="AA39" s="110"/>
      <c r="AB39" s="110"/>
      <c r="AC39" s="110"/>
      <c r="AD39" s="110"/>
      <c r="AE39" s="110"/>
      <c r="AF39" s="110"/>
      <c r="AG39" s="110"/>
      <c r="AH39" s="110"/>
      <c r="AI39" s="110"/>
      <c r="AJ39" s="111"/>
      <c r="AK39" s="50"/>
      <c r="AL39" s="50"/>
      <c r="AM39" s="121"/>
      <c r="AN39" s="122"/>
      <c r="AO39" s="122"/>
      <c r="AP39" s="122"/>
      <c r="AQ39" s="122"/>
      <c r="AR39" s="122"/>
      <c r="AS39" s="122"/>
      <c r="AT39" s="123"/>
      <c r="AU39" s="121"/>
      <c r="AV39" s="122"/>
      <c r="AW39" s="122"/>
      <c r="AX39" s="122"/>
      <c r="AY39" s="122"/>
      <c r="AZ39" s="122"/>
      <c r="BA39" s="122"/>
      <c r="BB39" s="123"/>
      <c r="BC39" s="40"/>
      <c r="BD39" s="35"/>
      <c r="BE39" s="82" t="str">
        <f>IF([6]回答表!X41="○",[6]回答表!V62,IF([6]回答表!AA41="○",[6]回答表!V82,""))</f>
        <v/>
      </c>
      <c r="BF39" s="199"/>
      <c r="BG39" s="199"/>
      <c r="BH39" s="200"/>
      <c r="BI39" s="82" t="str">
        <f>IF([6]回答表!X41="○",[6]回答表!V63,IF([6]回答表!AA41="○",[6]回答表!V83,""))</f>
        <v/>
      </c>
      <c r="BJ39" s="199"/>
      <c r="BK39" s="199"/>
      <c r="BL39" s="200"/>
      <c r="BM39" s="82" t="str">
        <f>IF([6]回答表!X41="○",[6]回答表!V64,IF([6]回答表!AA41="○",[6]回答表!V84,""))</f>
        <v/>
      </c>
      <c r="BN39" s="199"/>
      <c r="BO39" s="199"/>
      <c r="BP39" s="200"/>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09"/>
      <c r="V40" s="110"/>
      <c r="W40" s="110"/>
      <c r="X40" s="110"/>
      <c r="Y40" s="110"/>
      <c r="Z40" s="110"/>
      <c r="AA40" s="110"/>
      <c r="AB40" s="110"/>
      <c r="AC40" s="110"/>
      <c r="AD40" s="110"/>
      <c r="AE40" s="110"/>
      <c r="AF40" s="110"/>
      <c r="AG40" s="110"/>
      <c r="AH40" s="110"/>
      <c r="AI40" s="110"/>
      <c r="AJ40" s="111"/>
      <c r="AK40" s="50"/>
      <c r="AL40" s="50"/>
      <c r="AM40" s="124"/>
      <c r="AN40" s="125"/>
      <c r="AO40" s="125"/>
      <c r="AP40" s="125"/>
      <c r="AQ40" s="125"/>
      <c r="AR40" s="125"/>
      <c r="AS40" s="125"/>
      <c r="AT40" s="126"/>
      <c r="AU40" s="124"/>
      <c r="AV40" s="125"/>
      <c r="AW40" s="125"/>
      <c r="AX40" s="125"/>
      <c r="AY40" s="125"/>
      <c r="AZ40" s="125"/>
      <c r="BA40" s="125"/>
      <c r="BB40" s="126"/>
      <c r="BC40" s="40"/>
      <c r="BD40" s="40"/>
      <c r="BE40" s="201"/>
      <c r="BF40" s="199"/>
      <c r="BG40" s="199"/>
      <c r="BH40" s="200"/>
      <c r="BI40" s="201"/>
      <c r="BJ40" s="199"/>
      <c r="BK40" s="199"/>
      <c r="BL40" s="200"/>
      <c r="BM40" s="201"/>
      <c r="BN40" s="199"/>
      <c r="BO40" s="199"/>
      <c r="BP40" s="200"/>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09"/>
      <c r="V41" s="110"/>
      <c r="W41" s="110"/>
      <c r="X41" s="110"/>
      <c r="Y41" s="110"/>
      <c r="Z41" s="110"/>
      <c r="AA41" s="110"/>
      <c r="AB41" s="110"/>
      <c r="AC41" s="110"/>
      <c r="AD41" s="110"/>
      <c r="AE41" s="110"/>
      <c r="AF41" s="110"/>
      <c r="AG41" s="110"/>
      <c r="AH41" s="110"/>
      <c r="AI41" s="110"/>
      <c r="AJ41" s="111"/>
      <c r="AK41" s="50"/>
      <c r="AL41" s="50"/>
      <c r="AM41" s="50"/>
      <c r="AN41" s="50"/>
      <c r="AO41" s="50"/>
      <c r="AP41" s="50"/>
      <c r="AQ41" s="50"/>
      <c r="AR41" s="50"/>
      <c r="AS41" s="50"/>
      <c r="AT41" s="50"/>
      <c r="AU41" s="50"/>
      <c r="AV41" s="50"/>
      <c r="AW41" s="50"/>
      <c r="AX41" s="50"/>
      <c r="AY41" s="50"/>
      <c r="AZ41" s="50"/>
      <c r="BA41" s="50"/>
      <c r="BB41" s="50"/>
      <c r="BC41" s="40"/>
      <c r="BD41" s="40"/>
      <c r="BE41" s="201"/>
      <c r="BF41" s="199"/>
      <c r="BG41" s="199"/>
      <c r="BH41" s="200"/>
      <c r="BI41" s="201"/>
      <c r="BJ41" s="199"/>
      <c r="BK41" s="199"/>
      <c r="BL41" s="200"/>
      <c r="BM41" s="201"/>
      <c r="BN41" s="199"/>
      <c r="BO41" s="199"/>
      <c r="BP41" s="200"/>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09"/>
      <c r="V42" s="110"/>
      <c r="W42" s="110"/>
      <c r="X42" s="110"/>
      <c r="Y42" s="110"/>
      <c r="Z42" s="110"/>
      <c r="AA42" s="110"/>
      <c r="AB42" s="110"/>
      <c r="AC42" s="110"/>
      <c r="AD42" s="110"/>
      <c r="AE42" s="110"/>
      <c r="AF42" s="110"/>
      <c r="AG42" s="110"/>
      <c r="AH42" s="110"/>
      <c r="AI42" s="110"/>
      <c r="AJ42" s="111"/>
      <c r="AK42" s="50"/>
      <c r="AL42" s="50"/>
      <c r="AM42" s="197" t="str">
        <f>IF([6]回答表!X41="○",[6]回答表!O68,IF([6]回答表!AA41="○",[6]回答表!O88,""))</f>
        <v/>
      </c>
      <c r="AN42" s="198"/>
      <c r="AO42" s="195" t="s">
        <v>21</v>
      </c>
      <c r="AP42" s="195"/>
      <c r="AQ42" s="195"/>
      <c r="AR42" s="195"/>
      <c r="AS42" s="195"/>
      <c r="AT42" s="195"/>
      <c r="AU42" s="195"/>
      <c r="AV42" s="195"/>
      <c r="AW42" s="195"/>
      <c r="AX42" s="195"/>
      <c r="AY42" s="195"/>
      <c r="AZ42" s="195"/>
      <c r="BA42" s="195"/>
      <c r="BB42" s="196"/>
      <c r="BC42" s="40"/>
      <c r="BD42" s="40"/>
      <c r="BE42" s="201"/>
      <c r="BF42" s="199"/>
      <c r="BG42" s="199"/>
      <c r="BH42" s="200"/>
      <c r="BI42" s="201"/>
      <c r="BJ42" s="199"/>
      <c r="BK42" s="199"/>
      <c r="BL42" s="200"/>
      <c r="BM42" s="201"/>
      <c r="BN42" s="199"/>
      <c r="BO42" s="199"/>
      <c r="BP42" s="200"/>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09"/>
      <c r="V43" s="110"/>
      <c r="W43" s="110"/>
      <c r="X43" s="110"/>
      <c r="Y43" s="110"/>
      <c r="Z43" s="110"/>
      <c r="AA43" s="110"/>
      <c r="AB43" s="110"/>
      <c r="AC43" s="110"/>
      <c r="AD43" s="110"/>
      <c r="AE43" s="110"/>
      <c r="AF43" s="110"/>
      <c r="AG43" s="110"/>
      <c r="AH43" s="110"/>
      <c r="AI43" s="110"/>
      <c r="AJ43" s="111"/>
      <c r="AK43" s="50"/>
      <c r="AL43" s="50"/>
      <c r="AM43" s="197" t="str">
        <f>IF([6]回答表!X41="○",[6]回答表!O69,IF([6]回答表!AA41="○",[6]回答表!O89,""))</f>
        <v/>
      </c>
      <c r="AN43" s="198"/>
      <c r="AO43" s="195" t="s">
        <v>22</v>
      </c>
      <c r="AP43" s="195"/>
      <c r="AQ43" s="195"/>
      <c r="AR43" s="195"/>
      <c r="AS43" s="195"/>
      <c r="AT43" s="195"/>
      <c r="AU43" s="195"/>
      <c r="AV43" s="195"/>
      <c r="AW43" s="195"/>
      <c r="AX43" s="195"/>
      <c r="AY43" s="195"/>
      <c r="AZ43" s="195"/>
      <c r="BA43" s="195"/>
      <c r="BB43" s="196"/>
      <c r="BC43" s="40"/>
      <c r="BD43" s="35"/>
      <c r="BE43" s="82" t="s">
        <v>23</v>
      </c>
      <c r="BF43" s="199"/>
      <c r="BG43" s="199"/>
      <c r="BH43" s="200"/>
      <c r="BI43" s="82" t="s">
        <v>24</v>
      </c>
      <c r="BJ43" s="199"/>
      <c r="BK43" s="199"/>
      <c r="BL43" s="200"/>
      <c r="BM43" s="82" t="s">
        <v>25</v>
      </c>
      <c r="BN43" s="199"/>
      <c r="BO43" s="199"/>
      <c r="BP43" s="200"/>
      <c r="BQ43" s="38"/>
      <c r="BR43" s="25"/>
    </row>
    <row r="44" spans="1:70" ht="15.6" customHeight="1" x14ac:dyDescent="0.4">
      <c r="A44" s="25"/>
      <c r="B44" s="25"/>
      <c r="C44" s="33"/>
      <c r="D44" s="140" t="s">
        <v>26</v>
      </c>
      <c r="E44" s="141"/>
      <c r="F44" s="141"/>
      <c r="G44" s="141"/>
      <c r="H44" s="141"/>
      <c r="I44" s="141"/>
      <c r="J44" s="141"/>
      <c r="K44" s="141"/>
      <c r="L44" s="141"/>
      <c r="M44" s="142"/>
      <c r="N44" s="97" t="str">
        <f>IF([6]回答表!AA41="○","○","")</f>
        <v/>
      </c>
      <c r="O44" s="98"/>
      <c r="P44" s="98"/>
      <c r="Q44" s="99"/>
      <c r="R44" s="39"/>
      <c r="S44" s="39"/>
      <c r="T44" s="39"/>
      <c r="U44" s="109"/>
      <c r="V44" s="110"/>
      <c r="W44" s="110"/>
      <c r="X44" s="110"/>
      <c r="Y44" s="110"/>
      <c r="Z44" s="110"/>
      <c r="AA44" s="110"/>
      <c r="AB44" s="110"/>
      <c r="AC44" s="110"/>
      <c r="AD44" s="110"/>
      <c r="AE44" s="110"/>
      <c r="AF44" s="110"/>
      <c r="AG44" s="110"/>
      <c r="AH44" s="110"/>
      <c r="AI44" s="110"/>
      <c r="AJ44" s="111"/>
      <c r="AK44" s="50"/>
      <c r="AL44" s="50"/>
      <c r="AM44" s="197" t="str">
        <f>IF([6]回答表!X41="○",[6]回答表!O70,IF([6]回答表!AA41="○",[6]回答表!O90,""))</f>
        <v/>
      </c>
      <c r="AN44" s="198"/>
      <c r="AO44" s="195" t="s">
        <v>27</v>
      </c>
      <c r="AP44" s="195"/>
      <c r="AQ44" s="195"/>
      <c r="AR44" s="195"/>
      <c r="AS44" s="195"/>
      <c r="AT44" s="195"/>
      <c r="AU44" s="195"/>
      <c r="AV44" s="195"/>
      <c r="AW44" s="195"/>
      <c r="AX44" s="195"/>
      <c r="AY44" s="195"/>
      <c r="AZ44" s="195"/>
      <c r="BA44" s="195"/>
      <c r="BB44" s="196"/>
      <c r="BC44" s="40"/>
      <c r="BD44" s="54"/>
      <c r="BE44" s="201"/>
      <c r="BF44" s="199"/>
      <c r="BG44" s="199"/>
      <c r="BH44" s="200"/>
      <c r="BI44" s="201"/>
      <c r="BJ44" s="199"/>
      <c r="BK44" s="199"/>
      <c r="BL44" s="200"/>
      <c r="BM44" s="201"/>
      <c r="BN44" s="199"/>
      <c r="BO44" s="199"/>
      <c r="BP44" s="200"/>
      <c r="BQ44" s="38"/>
      <c r="BR44" s="25"/>
    </row>
    <row r="45" spans="1:70" ht="15.6" customHeight="1" x14ac:dyDescent="0.4">
      <c r="A45" s="25"/>
      <c r="B45" s="25"/>
      <c r="C45" s="33"/>
      <c r="D45" s="143"/>
      <c r="E45" s="144"/>
      <c r="F45" s="144"/>
      <c r="G45" s="144"/>
      <c r="H45" s="144"/>
      <c r="I45" s="144"/>
      <c r="J45" s="144"/>
      <c r="K45" s="144"/>
      <c r="L45" s="144"/>
      <c r="M45" s="145"/>
      <c r="N45" s="100"/>
      <c r="O45" s="101"/>
      <c r="P45" s="101"/>
      <c r="Q45" s="102"/>
      <c r="R45" s="39"/>
      <c r="S45" s="39"/>
      <c r="T45" s="39"/>
      <c r="U45" s="109"/>
      <c r="V45" s="110"/>
      <c r="W45" s="110"/>
      <c r="X45" s="110"/>
      <c r="Y45" s="110"/>
      <c r="Z45" s="110"/>
      <c r="AA45" s="110"/>
      <c r="AB45" s="110"/>
      <c r="AC45" s="110"/>
      <c r="AD45" s="110"/>
      <c r="AE45" s="110"/>
      <c r="AF45" s="110"/>
      <c r="AG45" s="110"/>
      <c r="AH45" s="110"/>
      <c r="AI45" s="110"/>
      <c r="AJ45" s="111"/>
      <c r="AK45" s="50"/>
      <c r="AL45" s="50"/>
      <c r="AM45" s="197" t="str">
        <f>IF([6]回答表!X41="○",[6]回答表!O71,IF([6]回答表!AA41="○",[6]回答表!O91,""))</f>
        <v/>
      </c>
      <c r="AN45" s="198"/>
      <c r="AO45" s="195" t="s">
        <v>28</v>
      </c>
      <c r="AP45" s="195"/>
      <c r="AQ45" s="195"/>
      <c r="AR45" s="195"/>
      <c r="AS45" s="195"/>
      <c r="AT45" s="195"/>
      <c r="AU45" s="195"/>
      <c r="AV45" s="195"/>
      <c r="AW45" s="195"/>
      <c r="AX45" s="195"/>
      <c r="AY45" s="195"/>
      <c r="AZ45" s="195"/>
      <c r="BA45" s="195"/>
      <c r="BB45" s="196"/>
      <c r="BC45" s="40"/>
      <c r="BD45" s="54"/>
      <c r="BE45" s="202"/>
      <c r="BF45" s="203"/>
      <c r="BG45" s="203"/>
      <c r="BH45" s="204"/>
      <c r="BI45" s="202"/>
      <c r="BJ45" s="203"/>
      <c r="BK45" s="203"/>
      <c r="BL45" s="204"/>
      <c r="BM45" s="202"/>
      <c r="BN45" s="203"/>
      <c r="BO45" s="203"/>
      <c r="BP45" s="204"/>
      <c r="BQ45" s="38"/>
      <c r="BR45" s="25"/>
    </row>
    <row r="46" spans="1:70" ht="15.6" customHeight="1" x14ac:dyDescent="0.4">
      <c r="A46" s="25"/>
      <c r="B46" s="25"/>
      <c r="C46" s="33"/>
      <c r="D46" s="143"/>
      <c r="E46" s="144"/>
      <c r="F46" s="144"/>
      <c r="G46" s="144"/>
      <c r="H46" s="144"/>
      <c r="I46" s="144"/>
      <c r="J46" s="144"/>
      <c r="K46" s="144"/>
      <c r="L46" s="144"/>
      <c r="M46" s="145"/>
      <c r="N46" s="100"/>
      <c r="O46" s="101"/>
      <c r="P46" s="101"/>
      <c r="Q46" s="102"/>
      <c r="R46" s="39"/>
      <c r="S46" s="39"/>
      <c r="T46" s="39"/>
      <c r="U46" s="109"/>
      <c r="V46" s="110"/>
      <c r="W46" s="110"/>
      <c r="X46" s="110"/>
      <c r="Y46" s="110"/>
      <c r="Z46" s="110"/>
      <c r="AA46" s="110"/>
      <c r="AB46" s="110"/>
      <c r="AC46" s="110"/>
      <c r="AD46" s="110"/>
      <c r="AE46" s="110"/>
      <c r="AF46" s="110"/>
      <c r="AG46" s="110"/>
      <c r="AH46" s="110"/>
      <c r="AI46" s="110"/>
      <c r="AJ46" s="111"/>
      <c r="AK46" s="50"/>
      <c r="AL46" s="50"/>
      <c r="AM46" s="197" t="str">
        <f>IF([6]回答表!X41="○",[6]回答表!AG68,IF([6]回答表!AA41="○",[6]回答表!AG88,""))</f>
        <v/>
      </c>
      <c r="AN46" s="198"/>
      <c r="AO46" s="195" t="s">
        <v>29</v>
      </c>
      <c r="AP46" s="195"/>
      <c r="AQ46" s="195"/>
      <c r="AR46" s="195"/>
      <c r="AS46" s="195"/>
      <c r="AT46" s="195"/>
      <c r="AU46" s="195"/>
      <c r="AV46" s="195"/>
      <c r="AW46" s="195"/>
      <c r="AX46" s="195"/>
      <c r="AY46" s="195"/>
      <c r="AZ46" s="195"/>
      <c r="BA46" s="195"/>
      <c r="BB46" s="196"/>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6"/>
      <c r="E47" s="147"/>
      <c r="F47" s="147"/>
      <c r="G47" s="147"/>
      <c r="H47" s="147"/>
      <c r="I47" s="147"/>
      <c r="J47" s="147"/>
      <c r="K47" s="147"/>
      <c r="L47" s="147"/>
      <c r="M47" s="148"/>
      <c r="N47" s="103"/>
      <c r="O47" s="104"/>
      <c r="P47" s="104"/>
      <c r="Q47" s="105"/>
      <c r="R47" s="39"/>
      <c r="S47" s="39"/>
      <c r="T47" s="39"/>
      <c r="U47" s="112"/>
      <c r="V47" s="113"/>
      <c r="W47" s="113"/>
      <c r="X47" s="113"/>
      <c r="Y47" s="113"/>
      <c r="Z47" s="113"/>
      <c r="AA47" s="113"/>
      <c r="AB47" s="113"/>
      <c r="AC47" s="113"/>
      <c r="AD47" s="113"/>
      <c r="AE47" s="113"/>
      <c r="AF47" s="113"/>
      <c r="AG47" s="113"/>
      <c r="AH47" s="113"/>
      <c r="AI47" s="113"/>
      <c r="AJ47" s="114"/>
      <c r="AK47" s="50"/>
      <c r="AL47" s="50"/>
      <c r="AM47" s="197" t="str">
        <f>IF([6]回答表!X41="○",[6]回答表!AG69,IF([6]回答表!AA41="○",[6]回答表!AG89,""))</f>
        <v/>
      </c>
      <c r="AN47" s="198"/>
      <c r="AO47" s="195" t="s">
        <v>30</v>
      </c>
      <c r="AP47" s="195"/>
      <c r="AQ47" s="195"/>
      <c r="AR47" s="195"/>
      <c r="AS47" s="195"/>
      <c r="AT47" s="195"/>
      <c r="AU47" s="195"/>
      <c r="AV47" s="195"/>
      <c r="AW47" s="195"/>
      <c r="AX47" s="195"/>
      <c r="AY47" s="195"/>
      <c r="AZ47" s="195"/>
      <c r="BA47" s="195"/>
      <c r="BB47" s="196"/>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7" t="str">
        <f>IF([6]回答表!X41="○",[6]回答表!AG70,IF([6]回答表!AA41="○",[6]回答表!AG90,""))</f>
        <v/>
      </c>
      <c r="AN48" s="198"/>
      <c r="AO48" s="195" t="s">
        <v>31</v>
      </c>
      <c r="AP48" s="195"/>
      <c r="AQ48" s="195"/>
      <c r="AR48" s="195"/>
      <c r="AS48" s="195"/>
      <c r="AT48" s="195"/>
      <c r="AU48" s="195"/>
      <c r="AV48" s="195"/>
      <c r="AW48" s="195"/>
      <c r="AX48" s="195"/>
      <c r="AY48" s="195"/>
      <c r="AZ48" s="195"/>
      <c r="BA48" s="195"/>
      <c r="BB48" s="196"/>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88" t="s">
        <v>34</v>
      </c>
      <c r="E52" s="89"/>
      <c r="F52" s="89"/>
      <c r="G52" s="89"/>
      <c r="H52" s="89"/>
      <c r="I52" s="89"/>
      <c r="J52" s="89"/>
      <c r="K52" s="89"/>
      <c r="L52" s="89"/>
      <c r="M52" s="90"/>
      <c r="N52" s="97" t="str">
        <f>IF([6]回答表!AD41="○","○","")</f>
        <v/>
      </c>
      <c r="O52" s="98"/>
      <c r="P52" s="98"/>
      <c r="Q52" s="99"/>
      <c r="R52" s="39"/>
      <c r="S52" s="39"/>
      <c r="T52" s="39"/>
      <c r="U52" s="106" t="str">
        <f>IF([6]回答表!AD41="○",[6]回答表!B96,"")</f>
        <v/>
      </c>
      <c r="V52" s="107"/>
      <c r="W52" s="107"/>
      <c r="X52" s="107"/>
      <c r="Y52" s="107"/>
      <c r="Z52" s="107"/>
      <c r="AA52" s="107"/>
      <c r="AB52" s="107"/>
      <c r="AC52" s="107"/>
      <c r="AD52" s="107"/>
      <c r="AE52" s="107"/>
      <c r="AF52" s="107"/>
      <c r="AG52" s="107"/>
      <c r="AH52" s="107"/>
      <c r="AI52" s="107"/>
      <c r="AJ52" s="108"/>
      <c r="AK52" s="56"/>
      <c r="AL52" s="56"/>
      <c r="AM52" s="106" t="str">
        <f>IF([6]回答表!AD41="○",[6]回答表!B101,"")</f>
        <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38"/>
      <c r="BR52" s="25"/>
    </row>
    <row r="53" spans="1:70" ht="15.6" customHeight="1" x14ac:dyDescent="0.4">
      <c r="A53" s="25"/>
      <c r="B53" s="25"/>
      <c r="C53" s="33"/>
      <c r="D53" s="91"/>
      <c r="E53" s="92"/>
      <c r="F53" s="92"/>
      <c r="G53" s="92"/>
      <c r="H53" s="92"/>
      <c r="I53" s="92"/>
      <c r="J53" s="92"/>
      <c r="K53" s="92"/>
      <c r="L53" s="92"/>
      <c r="M53" s="93"/>
      <c r="N53" s="100"/>
      <c r="O53" s="101"/>
      <c r="P53" s="101"/>
      <c r="Q53" s="102"/>
      <c r="R53" s="39"/>
      <c r="S53" s="39"/>
      <c r="T53" s="39"/>
      <c r="U53" s="109"/>
      <c r="V53" s="110"/>
      <c r="W53" s="110"/>
      <c r="X53" s="110"/>
      <c r="Y53" s="110"/>
      <c r="Z53" s="110"/>
      <c r="AA53" s="110"/>
      <c r="AB53" s="110"/>
      <c r="AC53" s="110"/>
      <c r="AD53" s="110"/>
      <c r="AE53" s="110"/>
      <c r="AF53" s="110"/>
      <c r="AG53" s="110"/>
      <c r="AH53" s="110"/>
      <c r="AI53" s="110"/>
      <c r="AJ53" s="111"/>
      <c r="AK53" s="56"/>
      <c r="AL53" s="56"/>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38"/>
      <c r="BR53" s="25"/>
    </row>
    <row r="54" spans="1:70" ht="15.6" customHeight="1" x14ac:dyDescent="0.4">
      <c r="A54" s="25"/>
      <c r="B54" s="25"/>
      <c r="C54" s="33"/>
      <c r="D54" s="91"/>
      <c r="E54" s="92"/>
      <c r="F54" s="92"/>
      <c r="G54" s="92"/>
      <c r="H54" s="92"/>
      <c r="I54" s="92"/>
      <c r="J54" s="92"/>
      <c r="K54" s="92"/>
      <c r="L54" s="92"/>
      <c r="M54" s="93"/>
      <c r="N54" s="100"/>
      <c r="O54" s="101"/>
      <c r="P54" s="101"/>
      <c r="Q54" s="102"/>
      <c r="R54" s="39"/>
      <c r="S54" s="39"/>
      <c r="T54" s="39"/>
      <c r="U54" s="109"/>
      <c r="V54" s="110"/>
      <c r="W54" s="110"/>
      <c r="X54" s="110"/>
      <c r="Y54" s="110"/>
      <c r="Z54" s="110"/>
      <c r="AA54" s="110"/>
      <c r="AB54" s="110"/>
      <c r="AC54" s="110"/>
      <c r="AD54" s="110"/>
      <c r="AE54" s="110"/>
      <c r="AF54" s="110"/>
      <c r="AG54" s="110"/>
      <c r="AH54" s="110"/>
      <c r="AI54" s="110"/>
      <c r="AJ54" s="111"/>
      <c r="AK54" s="56"/>
      <c r="AL54" s="56"/>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38"/>
      <c r="BR54" s="25"/>
    </row>
    <row r="55" spans="1:70" ht="15.6" customHeight="1" x14ac:dyDescent="0.4">
      <c r="C55" s="33"/>
      <c r="D55" s="94"/>
      <c r="E55" s="95"/>
      <c r="F55" s="95"/>
      <c r="G55" s="95"/>
      <c r="H55" s="95"/>
      <c r="I55" s="95"/>
      <c r="J55" s="95"/>
      <c r="K55" s="95"/>
      <c r="L55" s="95"/>
      <c r="M55" s="96"/>
      <c r="N55" s="103"/>
      <c r="O55" s="104"/>
      <c r="P55" s="104"/>
      <c r="Q55" s="105"/>
      <c r="R55" s="39"/>
      <c r="S55" s="39"/>
      <c r="T55" s="39"/>
      <c r="U55" s="112"/>
      <c r="V55" s="113"/>
      <c r="W55" s="113"/>
      <c r="X55" s="113"/>
      <c r="Y55" s="113"/>
      <c r="Z55" s="113"/>
      <c r="AA55" s="113"/>
      <c r="AB55" s="113"/>
      <c r="AC55" s="113"/>
      <c r="AD55" s="113"/>
      <c r="AE55" s="113"/>
      <c r="AF55" s="113"/>
      <c r="AG55" s="113"/>
      <c r="AH55" s="113"/>
      <c r="AI55" s="113"/>
      <c r="AJ55" s="114"/>
      <c r="AK55" s="56"/>
      <c r="AL55" s="56"/>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7"/>
      <c r="AS58" s="127"/>
      <c r="AT58" s="127"/>
      <c r="AU58" s="127"/>
      <c r="AV58" s="127"/>
      <c r="AW58" s="127"/>
      <c r="AX58" s="127"/>
      <c r="AY58" s="127"/>
      <c r="AZ58" s="127"/>
      <c r="BA58" s="127"/>
      <c r="BB58" s="127"/>
      <c r="BC58" s="29"/>
      <c r="BD58" s="30"/>
      <c r="BE58" s="30"/>
      <c r="BF58" s="30"/>
      <c r="BG58" s="30"/>
      <c r="BH58" s="30"/>
      <c r="BI58" s="30"/>
      <c r="BJ58" s="30"/>
      <c r="BK58" s="30"/>
      <c r="BL58" s="30"/>
      <c r="BM58" s="30"/>
      <c r="BN58" s="30"/>
      <c r="BO58" s="30"/>
      <c r="BP58" s="30"/>
      <c r="BQ58" s="31"/>
      <c r="BR58" s="25"/>
    </row>
    <row r="59" spans="1:70" ht="15.6" customHeight="1" x14ac:dyDescent="0.5">
      <c r="C59" s="33"/>
      <c r="D59" s="128" t="s">
        <v>14</v>
      </c>
      <c r="E59" s="129"/>
      <c r="F59" s="129"/>
      <c r="G59" s="129"/>
      <c r="H59" s="129"/>
      <c r="I59" s="129"/>
      <c r="J59" s="129"/>
      <c r="K59" s="129"/>
      <c r="L59" s="129"/>
      <c r="M59" s="129"/>
      <c r="N59" s="129"/>
      <c r="O59" s="129"/>
      <c r="P59" s="129"/>
      <c r="Q59" s="130"/>
      <c r="R59" s="88" t="s">
        <v>35</v>
      </c>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90"/>
      <c r="BC59" s="34"/>
      <c r="BD59" s="35"/>
      <c r="BE59" s="35"/>
      <c r="BF59" s="35"/>
      <c r="BG59" s="35"/>
      <c r="BH59" s="35"/>
      <c r="BI59" s="35"/>
      <c r="BJ59" s="35"/>
      <c r="BK59" s="35"/>
      <c r="BL59" s="35"/>
      <c r="BM59" s="36"/>
      <c r="BN59" s="36"/>
      <c r="BO59" s="36"/>
      <c r="BP59" s="37"/>
      <c r="BQ59" s="38"/>
      <c r="BR59" s="25"/>
    </row>
    <row r="60" spans="1:70" ht="15.6" customHeight="1" x14ac:dyDescent="0.5">
      <c r="C60" s="33"/>
      <c r="D60" s="131"/>
      <c r="E60" s="132"/>
      <c r="F60" s="132"/>
      <c r="G60" s="132"/>
      <c r="H60" s="132"/>
      <c r="I60" s="132"/>
      <c r="J60" s="132"/>
      <c r="K60" s="132"/>
      <c r="L60" s="132"/>
      <c r="M60" s="132"/>
      <c r="N60" s="132"/>
      <c r="O60" s="132"/>
      <c r="P60" s="132"/>
      <c r="Q60" s="133"/>
      <c r="R60" s="94"/>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6"/>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88" t="s">
        <v>18</v>
      </c>
      <c r="E63" s="89"/>
      <c r="F63" s="89"/>
      <c r="G63" s="89"/>
      <c r="H63" s="89"/>
      <c r="I63" s="89"/>
      <c r="J63" s="89"/>
      <c r="K63" s="89"/>
      <c r="L63" s="89"/>
      <c r="M63" s="90"/>
      <c r="N63" s="97" t="str">
        <f>IF([6]回答表!X42="○","○","")</f>
        <v/>
      </c>
      <c r="O63" s="98"/>
      <c r="P63" s="98"/>
      <c r="Q63" s="99"/>
      <c r="R63" s="39"/>
      <c r="S63" s="39"/>
      <c r="T63" s="39"/>
      <c r="U63" s="106" t="str">
        <f>IF([6]回答表!X42="○",[6]回答表!B111,IF([6]回答表!AA42="○",[6]回答表!B124,""))</f>
        <v/>
      </c>
      <c r="V63" s="107"/>
      <c r="W63" s="107"/>
      <c r="X63" s="107"/>
      <c r="Y63" s="107"/>
      <c r="Z63" s="107"/>
      <c r="AA63" s="107"/>
      <c r="AB63" s="107"/>
      <c r="AC63" s="107"/>
      <c r="AD63" s="107"/>
      <c r="AE63" s="107"/>
      <c r="AF63" s="107"/>
      <c r="AG63" s="107"/>
      <c r="AH63" s="107"/>
      <c r="AI63" s="107"/>
      <c r="AJ63" s="108"/>
      <c r="AK63" s="50"/>
      <c r="AL63" s="50"/>
      <c r="AM63" s="194" t="s">
        <v>37</v>
      </c>
      <c r="AN63" s="194"/>
      <c r="AO63" s="194"/>
      <c r="AP63" s="194"/>
      <c r="AQ63" s="194"/>
      <c r="AR63" s="194"/>
      <c r="AS63" s="194"/>
      <c r="AT63" s="194"/>
      <c r="AU63" s="194" t="s">
        <v>38</v>
      </c>
      <c r="AV63" s="194"/>
      <c r="AW63" s="194"/>
      <c r="AX63" s="194"/>
      <c r="AY63" s="194"/>
      <c r="AZ63" s="194"/>
      <c r="BA63" s="194"/>
      <c r="BB63" s="194"/>
      <c r="BC63" s="40"/>
      <c r="BD63" s="35"/>
      <c r="BE63" s="115" t="str">
        <f>IF([6]回答表!X42="○",[6]回答表!S117,IF([6]回答表!AA42="○",[6]回答表!S130,""))</f>
        <v/>
      </c>
      <c r="BF63" s="116"/>
      <c r="BG63" s="116"/>
      <c r="BH63" s="116"/>
      <c r="BI63" s="115"/>
      <c r="BJ63" s="116"/>
      <c r="BK63" s="116"/>
      <c r="BL63" s="116"/>
      <c r="BM63" s="115"/>
      <c r="BN63" s="116"/>
      <c r="BO63" s="116"/>
      <c r="BP63" s="117"/>
      <c r="BQ63" s="38"/>
      <c r="BR63" s="25"/>
    </row>
    <row r="64" spans="1:70" ht="15.6" customHeight="1" x14ac:dyDescent="0.4">
      <c r="C64" s="33"/>
      <c r="D64" s="91"/>
      <c r="E64" s="92"/>
      <c r="F64" s="92"/>
      <c r="G64" s="92"/>
      <c r="H64" s="92"/>
      <c r="I64" s="92"/>
      <c r="J64" s="92"/>
      <c r="K64" s="92"/>
      <c r="L64" s="92"/>
      <c r="M64" s="93"/>
      <c r="N64" s="100"/>
      <c r="O64" s="101"/>
      <c r="P64" s="101"/>
      <c r="Q64" s="102"/>
      <c r="R64" s="39"/>
      <c r="S64" s="39"/>
      <c r="T64" s="39"/>
      <c r="U64" s="109"/>
      <c r="V64" s="110"/>
      <c r="W64" s="110"/>
      <c r="X64" s="110"/>
      <c r="Y64" s="110"/>
      <c r="Z64" s="110"/>
      <c r="AA64" s="110"/>
      <c r="AB64" s="110"/>
      <c r="AC64" s="110"/>
      <c r="AD64" s="110"/>
      <c r="AE64" s="110"/>
      <c r="AF64" s="110"/>
      <c r="AG64" s="110"/>
      <c r="AH64" s="110"/>
      <c r="AI64" s="110"/>
      <c r="AJ64" s="111"/>
      <c r="AK64" s="50"/>
      <c r="AL64" s="50"/>
      <c r="AM64" s="194"/>
      <c r="AN64" s="194"/>
      <c r="AO64" s="194"/>
      <c r="AP64" s="194"/>
      <c r="AQ64" s="194"/>
      <c r="AR64" s="194"/>
      <c r="AS64" s="194"/>
      <c r="AT64" s="194"/>
      <c r="AU64" s="194"/>
      <c r="AV64" s="194"/>
      <c r="AW64" s="194"/>
      <c r="AX64" s="194"/>
      <c r="AY64" s="194"/>
      <c r="AZ64" s="194"/>
      <c r="BA64" s="194"/>
      <c r="BB64" s="194"/>
      <c r="BC64" s="40"/>
      <c r="BD64" s="35"/>
      <c r="BE64" s="82"/>
      <c r="BF64" s="83"/>
      <c r="BG64" s="83"/>
      <c r="BH64" s="83"/>
      <c r="BI64" s="82"/>
      <c r="BJ64" s="83"/>
      <c r="BK64" s="83"/>
      <c r="BL64" s="83"/>
      <c r="BM64" s="82"/>
      <c r="BN64" s="83"/>
      <c r="BO64" s="83"/>
      <c r="BP64" s="86"/>
      <c r="BQ64" s="38"/>
      <c r="BR64" s="25"/>
    </row>
    <row r="65" spans="1:70" ht="15.6" customHeight="1" x14ac:dyDescent="0.4">
      <c r="C65" s="33"/>
      <c r="D65" s="91"/>
      <c r="E65" s="92"/>
      <c r="F65" s="92"/>
      <c r="G65" s="92"/>
      <c r="H65" s="92"/>
      <c r="I65" s="92"/>
      <c r="J65" s="92"/>
      <c r="K65" s="92"/>
      <c r="L65" s="92"/>
      <c r="M65" s="93"/>
      <c r="N65" s="100"/>
      <c r="O65" s="101"/>
      <c r="P65" s="101"/>
      <c r="Q65" s="102"/>
      <c r="R65" s="39"/>
      <c r="S65" s="39"/>
      <c r="T65" s="39"/>
      <c r="U65" s="109"/>
      <c r="V65" s="110"/>
      <c r="W65" s="110"/>
      <c r="X65" s="110"/>
      <c r="Y65" s="110"/>
      <c r="Z65" s="110"/>
      <c r="AA65" s="110"/>
      <c r="AB65" s="110"/>
      <c r="AC65" s="110"/>
      <c r="AD65" s="110"/>
      <c r="AE65" s="110"/>
      <c r="AF65" s="110"/>
      <c r="AG65" s="110"/>
      <c r="AH65" s="110"/>
      <c r="AI65" s="110"/>
      <c r="AJ65" s="111"/>
      <c r="AK65" s="50"/>
      <c r="AL65" s="50"/>
      <c r="AM65" s="194"/>
      <c r="AN65" s="194"/>
      <c r="AO65" s="194"/>
      <c r="AP65" s="194"/>
      <c r="AQ65" s="194"/>
      <c r="AR65" s="194"/>
      <c r="AS65" s="194"/>
      <c r="AT65" s="194"/>
      <c r="AU65" s="194"/>
      <c r="AV65" s="194"/>
      <c r="AW65" s="194"/>
      <c r="AX65" s="194"/>
      <c r="AY65" s="194"/>
      <c r="AZ65" s="194"/>
      <c r="BA65" s="194"/>
      <c r="BB65" s="194"/>
      <c r="BC65" s="40"/>
      <c r="BD65" s="35"/>
      <c r="BE65" s="82"/>
      <c r="BF65" s="83"/>
      <c r="BG65" s="83"/>
      <c r="BH65" s="83"/>
      <c r="BI65" s="82"/>
      <c r="BJ65" s="83"/>
      <c r="BK65" s="83"/>
      <c r="BL65" s="83"/>
      <c r="BM65" s="82"/>
      <c r="BN65" s="83"/>
      <c r="BO65" s="83"/>
      <c r="BP65" s="86"/>
      <c r="BQ65" s="38"/>
      <c r="BR65" s="25"/>
    </row>
    <row r="66" spans="1:70" ht="15.6" customHeight="1" x14ac:dyDescent="0.4">
      <c r="C66" s="33"/>
      <c r="D66" s="94"/>
      <c r="E66" s="95"/>
      <c r="F66" s="95"/>
      <c r="G66" s="95"/>
      <c r="H66" s="95"/>
      <c r="I66" s="95"/>
      <c r="J66" s="95"/>
      <c r="K66" s="95"/>
      <c r="L66" s="95"/>
      <c r="M66" s="96"/>
      <c r="N66" s="103"/>
      <c r="O66" s="104"/>
      <c r="P66" s="104"/>
      <c r="Q66" s="105"/>
      <c r="R66" s="39"/>
      <c r="S66" s="39"/>
      <c r="T66" s="39"/>
      <c r="U66" s="109"/>
      <c r="V66" s="110"/>
      <c r="W66" s="110"/>
      <c r="X66" s="110"/>
      <c r="Y66" s="110"/>
      <c r="Z66" s="110"/>
      <c r="AA66" s="110"/>
      <c r="AB66" s="110"/>
      <c r="AC66" s="110"/>
      <c r="AD66" s="110"/>
      <c r="AE66" s="110"/>
      <c r="AF66" s="110"/>
      <c r="AG66" s="110"/>
      <c r="AH66" s="110"/>
      <c r="AI66" s="110"/>
      <c r="AJ66" s="111"/>
      <c r="AK66" s="50"/>
      <c r="AL66" s="50"/>
      <c r="AM66" s="118" t="str">
        <f>IF([6]回答表!X42="○",[6]回答表!J117,IF([6]回答表!AA42="○",[6]回答表!J130,""))</f>
        <v/>
      </c>
      <c r="AN66" s="119"/>
      <c r="AO66" s="119"/>
      <c r="AP66" s="119"/>
      <c r="AQ66" s="119"/>
      <c r="AR66" s="119"/>
      <c r="AS66" s="119"/>
      <c r="AT66" s="120"/>
      <c r="AU66" s="118" t="str">
        <f>IF([6]回答表!X42="○",[6]回答表!J118,IF([6]回答表!AA42="○",[6]回答表!J131,""))</f>
        <v/>
      </c>
      <c r="AV66" s="119"/>
      <c r="AW66" s="119"/>
      <c r="AX66" s="119"/>
      <c r="AY66" s="119"/>
      <c r="AZ66" s="119"/>
      <c r="BA66" s="119"/>
      <c r="BB66" s="120"/>
      <c r="BC66" s="40"/>
      <c r="BD66" s="35"/>
      <c r="BE66" s="82" t="str">
        <f>IF([6]回答表!X42="○",[6]回答表!V117,IF([6]回答表!AA42="○",[6]回答表!V130,""))</f>
        <v/>
      </c>
      <c r="BF66" s="83"/>
      <c r="BG66" s="83"/>
      <c r="BH66" s="83"/>
      <c r="BI66" s="82" t="str">
        <f>IF([6]回答表!X42="○",[6]回答表!V118,IF([6]回答表!AA42="○",[6]回答表!V131,""))</f>
        <v/>
      </c>
      <c r="BJ66" s="83"/>
      <c r="BK66" s="83"/>
      <c r="BL66" s="83"/>
      <c r="BM66" s="82" t="str">
        <f>IF([6]回答表!X42="○",[6]回答表!V119,IF([6]回答表!AA42="○",[6]回答表!V132,""))</f>
        <v/>
      </c>
      <c r="BN66" s="83"/>
      <c r="BO66" s="83"/>
      <c r="BP66" s="86"/>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09"/>
      <c r="V67" s="110"/>
      <c r="W67" s="110"/>
      <c r="X67" s="110"/>
      <c r="Y67" s="110"/>
      <c r="Z67" s="110"/>
      <c r="AA67" s="110"/>
      <c r="AB67" s="110"/>
      <c r="AC67" s="110"/>
      <c r="AD67" s="110"/>
      <c r="AE67" s="110"/>
      <c r="AF67" s="110"/>
      <c r="AG67" s="110"/>
      <c r="AH67" s="110"/>
      <c r="AI67" s="110"/>
      <c r="AJ67" s="111"/>
      <c r="AK67" s="50"/>
      <c r="AL67" s="50"/>
      <c r="AM67" s="121"/>
      <c r="AN67" s="122"/>
      <c r="AO67" s="122"/>
      <c r="AP67" s="122"/>
      <c r="AQ67" s="122"/>
      <c r="AR67" s="122"/>
      <c r="AS67" s="122"/>
      <c r="AT67" s="123"/>
      <c r="AU67" s="121"/>
      <c r="AV67" s="122"/>
      <c r="AW67" s="122"/>
      <c r="AX67" s="122"/>
      <c r="AY67" s="122"/>
      <c r="AZ67" s="122"/>
      <c r="BA67" s="122"/>
      <c r="BB67" s="123"/>
      <c r="BC67" s="40"/>
      <c r="BD67" s="40"/>
      <c r="BE67" s="82"/>
      <c r="BF67" s="83"/>
      <c r="BG67" s="83"/>
      <c r="BH67" s="83"/>
      <c r="BI67" s="82"/>
      <c r="BJ67" s="83"/>
      <c r="BK67" s="83"/>
      <c r="BL67" s="83"/>
      <c r="BM67" s="82"/>
      <c r="BN67" s="83"/>
      <c r="BO67" s="83"/>
      <c r="BP67" s="86"/>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09"/>
      <c r="V68" s="110"/>
      <c r="W68" s="110"/>
      <c r="X68" s="110"/>
      <c r="Y68" s="110"/>
      <c r="Z68" s="110"/>
      <c r="AA68" s="110"/>
      <c r="AB68" s="110"/>
      <c r="AC68" s="110"/>
      <c r="AD68" s="110"/>
      <c r="AE68" s="110"/>
      <c r="AF68" s="110"/>
      <c r="AG68" s="110"/>
      <c r="AH68" s="110"/>
      <c r="AI68" s="110"/>
      <c r="AJ68" s="111"/>
      <c r="AK68" s="50"/>
      <c r="AL68" s="50"/>
      <c r="AM68" s="124"/>
      <c r="AN68" s="125"/>
      <c r="AO68" s="125"/>
      <c r="AP68" s="125"/>
      <c r="AQ68" s="125"/>
      <c r="AR68" s="125"/>
      <c r="AS68" s="125"/>
      <c r="AT68" s="126"/>
      <c r="AU68" s="124"/>
      <c r="AV68" s="125"/>
      <c r="AW68" s="125"/>
      <c r="AX68" s="125"/>
      <c r="AY68" s="125"/>
      <c r="AZ68" s="125"/>
      <c r="BA68" s="125"/>
      <c r="BB68" s="126"/>
      <c r="BC68" s="40"/>
      <c r="BD68" s="35"/>
      <c r="BE68" s="82"/>
      <c r="BF68" s="83"/>
      <c r="BG68" s="83"/>
      <c r="BH68" s="83"/>
      <c r="BI68" s="82"/>
      <c r="BJ68" s="83"/>
      <c r="BK68" s="83"/>
      <c r="BL68" s="83"/>
      <c r="BM68" s="82"/>
      <c r="BN68" s="83"/>
      <c r="BO68" s="83"/>
      <c r="BP68" s="86"/>
      <c r="BQ68" s="38"/>
      <c r="BR68" s="25"/>
    </row>
    <row r="69" spans="1:70" ht="15.6" customHeight="1" x14ac:dyDescent="0.4">
      <c r="C69" s="33"/>
      <c r="D69" s="140" t="s">
        <v>26</v>
      </c>
      <c r="E69" s="141"/>
      <c r="F69" s="141"/>
      <c r="G69" s="141"/>
      <c r="H69" s="141"/>
      <c r="I69" s="141"/>
      <c r="J69" s="141"/>
      <c r="K69" s="141"/>
      <c r="L69" s="141"/>
      <c r="M69" s="142"/>
      <c r="N69" s="97" t="str">
        <f>IF([6]回答表!AA42="○","○","")</f>
        <v/>
      </c>
      <c r="O69" s="98"/>
      <c r="P69" s="98"/>
      <c r="Q69" s="99"/>
      <c r="R69" s="39"/>
      <c r="S69" s="39"/>
      <c r="T69" s="39"/>
      <c r="U69" s="109"/>
      <c r="V69" s="110"/>
      <c r="W69" s="110"/>
      <c r="X69" s="110"/>
      <c r="Y69" s="110"/>
      <c r="Z69" s="110"/>
      <c r="AA69" s="110"/>
      <c r="AB69" s="110"/>
      <c r="AC69" s="110"/>
      <c r="AD69" s="110"/>
      <c r="AE69" s="110"/>
      <c r="AF69" s="110"/>
      <c r="AG69" s="110"/>
      <c r="AH69" s="110"/>
      <c r="AI69" s="110"/>
      <c r="AJ69" s="111"/>
      <c r="AK69" s="50"/>
      <c r="AL69" s="50"/>
      <c r="AM69" s="35"/>
      <c r="AN69" s="35"/>
      <c r="AO69" s="35"/>
      <c r="AP69" s="35"/>
      <c r="AQ69" s="35"/>
      <c r="AR69" s="35"/>
      <c r="AS69" s="35"/>
      <c r="AT69" s="35"/>
      <c r="AU69" s="35"/>
      <c r="AV69" s="35"/>
      <c r="AW69" s="35"/>
      <c r="AX69" s="35"/>
      <c r="AY69" s="35"/>
      <c r="AZ69" s="35"/>
      <c r="BA69" s="35"/>
      <c r="BB69" s="35"/>
      <c r="BC69" s="40"/>
      <c r="BD69" s="54"/>
      <c r="BE69" s="82"/>
      <c r="BF69" s="83"/>
      <c r="BG69" s="83"/>
      <c r="BH69" s="83"/>
      <c r="BI69" s="82"/>
      <c r="BJ69" s="83"/>
      <c r="BK69" s="83"/>
      <c r="BL69" s="83"/>
      <c r="BM69" s="82"/>
      <c r="BN69" s="83"/>
      <c r="BO69" s="83"/>
      <c r="BP69" s="86"/>
      <c r="BQ69" s="38"/>
      <c r="BR69" s="25"/>
    </row>
    <row r="70" spans="1:70" ht="15.6" customHeight="1" x14ac:dyDescent="0.4">
      <c r="C70" s="33"/>
      <c r="D70" s="143"/>
      <c r="E70" s="144"/>
      <c r="F70" s="144"/>
      <c r="G70" s="144"/>
      <c r="H70" s="144"/>
      <c r="I70" s="144"/>
      <c r="J70" s="144"/>
      <c r="K70" s="144"/>
      <c r="L70" s="144"/>
      <c r="M70" s="145"/>
      <c r="N70" s="100"/>
      <c r="O70" s="101"/>
      <c r="P70" s="101"/>
      <c r="Q70" s="102"/>
      <c r="R70" s="39"/>
      <c r="S70" s="39"/>
      <c r="T70" s="39"/>
      <c r="U70" s="109"/>
      <c r="V70" s="110"/>
      <c r="W70" s="110"/>
      <c r="X70" s="110"/>
      <c r="Y70" s="110"/>
      <c r="Z70" s="110"/>
      <c r="AA70" s="110"/>
      <c r="AB70" s="110"/>
      <c r="AC70" s="110"/>
      <c r="AD70" s="110"/>
      <c r="AE70" s="110"/>
      <c r="AF70" s="110"/>
      <c r="AG70" s="110"/>
      <c r="AH70" s="110"/>
      <c r="AI70" s="110"/>
      <c r="AJ70" s="111"/>
      <c r="AK70" s="50"/>
      <c r="AL70" s="50"/>
      <c r="AM70" s="35"/>
      <c r="AN70" s="35"/>
      <c r="AO70" s="35"/>
      <c r="AP70" s="35"/>
      <c r="AQ70" s="35"/>
      <c r="AR70" s="35"/>
      <c r="AS70" s="35"/>
      <c r="AT70" s="35"/>
      <c r="AU70" s="35"/>
      <c r="AV70" s="35"/>
      <c r="AW70" s="35"/>
      <c r="AX70" s="35"/>
      <c r="AY70" s="35"/>
      <c r="AZ70" s="35"/>
      <c r="BA70" s="35"/>
      <c r="BB70" s="35"/>
      <c r="BC70" s="40"/>
      <c r="BD70" s="54"/>
      <c r="BE70" s="82" t="s">
        <v>23</v>
      </c>
      <c r="BF70" s="83"/>
      <c r="BG70" s="83"/>
      <c r="BH70" s="83"/>
      <c r="BI70" s="82" t="s">
        <v>24</v>
      </c>
      <c r="BJ70" s="83"/>
      <c r="BK70" s="83"/>
      <c r="BL70" s="83"/>
      <c r="BM70" s="82" t="s">
        <v>25</v>
      </c>
      <c r="BN70" s="83"/>
      <c r="BO70" s="83"/>
      <c r="BP70" s="86"/>
      <c r="BQ70" s="38"/>
      <c r="BR70" s="25"/>
    </row>
    <row r="71" spans="1:70" ht="15.6" customHeight="1" x14ac:dyDescent="0.4">
      <c r="C71" s="33"/>
      <c r="D71" s="143"/>
      <c r="E71" s="144"/>
      <c r="F71" s="144"/>
      <c r="G71" s="144"/>
      <c r="H71" s="144"/>
      <c r="I71" s="144"/>
      <c r="J71" s="144"/>
      <c r="K71" s="144"/>
      <c r="L71" s="144"/>
      <c r="M71" s="145"/>
      <c r="N71" s="100"/>
      <c r="O71" s="101"/>
      <c r="P71" s="101"/>
      <c r="Q71" s="102"/>
      <c r="R71" s="39"/>
      <c r="S71" s="39"/>
      <c r="T71" s="39"/>
      <c r="U71" s="109"/>
      <c r="V71" s="110"/>
      <c r="W71" s="110"/>
      <c r="X71" s="110"/>
      <c r="Y71" s="110"/>
      <c r="Z71" s="110"/>
      <c r="AA71" s="110"/>
      <c r="AB71" s="110"/>
      <c r="AC71" s="110"/>
      <c r="AD71" s="110"/>
      <c r="AE71" s="110"/>
      <c r="AF71" s="110"/>
      <c r="AG71" s="110"/>
      <c r="AH71" s="110"/>
      <c r="AI71" s="110"/>
      <c r="AJ71" s="111"/>
      <c r="AK71" s="50"/>
      <c r="AL71" s="50"/>
      <c r="AM71" s="35"/>
      <c r="AN71" s="35"/>
      <c r="AO71" s="35"/>
      <c r="AP71" s="35"/>
      <c r="AQ71" s="35"/>
      <c r="AR71" s="35"/>
      <c r="AS71" s="35"/>
      <c r="AT71" s="35"/>
      <c r="AU71" s="35"/>
      <c r="AV71" s="35"/>
      <c r="AW71" s="35"/>
      <c r="AX71" s="35"/>
      <c r="AY71" s="35"/>
      <c r="AZ71" s="35"/>
      <c r="BA71" s="35"/>
      <c r="BB71" s="35"/>
      <c r="BC71" s="40"/>
      <c r="BD71" s="54"/>
      <c r="BE71" s="82"/>
      <c r="BF71" s="83"/>
      <c r="BG71" s="83"/>
      <c r="BH71" s="83"/>
      <c r="BI71" s="82"/>
      <c r="BJ71" s="83"/>
      <c r="BK71" s="83"/>
      <c r="BL71" s="83"/>
      <c r="BM71" s="82"/>
      <c r="BN71" s="83"/>
      <c r="BO71" s="83"/>
      <c r="BP71" s="86"/>
      <c r="BQ71" s="38"/>
      <c r="BR71" s="25"/>
    </row>
    <row r="72" spans="1:70" ht="15.6" customHeight="1" x14ac:dyDescent="0.4">
      <c r="C72" s="33"/>
      <c r="D72" s="146"/>
      <c r="E72" s="147"/>
      <c r="F72" s="147"/>
      <c r="G72" s="147"/>
      <c r="H72" s="147"/>
      <c r="I72" s="147"/>
      <c r="J72" s="147"/>
      <c r="K72" s="147"/>
      <c r="L72" s="147"/>
      <c r="M72" s="148"/>
      <c r="N72" s="103"/>
      <c r="O72" s="104"/>
      <c r="P72" s="104"/>
      <c r="Q72" s="105"/>
      <c r="R72" s="39"/>
      <c r="S72" s="39"/>
      <c r="T72" s="39"/>
      <c r="U72" s="112"/>
      <c r="V72" s="113"/>
      <c r="W72" s="113"/>
      <c r="X72" s="113"/>
      <c r="Y72" s="113"/>
      <c r="Z72" s="113"/>
      <c r="AA72" s="113"/>
      <c r="AB72" s="113"/>
      <c r="AC72" s="113"/>
      <c r="AD72" s="113"/>
      <c r="AE72" s="113"/>
      <c r="AF72" s="113"/>
      <c r="AG72" s="113"/>
      <c r="AH72" s="113"/>
      <c r="AI72" s="113"/>
      <c r="AJ72" s="114"/>
      <c r="AK72" s="50"/>
      <c r="AL72" s="50"/>
      <c r="AM72" s="35"/>
      <c r="AN72" s="35"/>
      <c r="AO72" s="35"/>
      <c r="AP72" s="35"/>
      <c r="AQ72" s="35"/>
      <c r="AR72" s="35"/>
      <c r="AS72" s="35"/>
      <c r="AT72" s="35"/>
      <c r="AU72" s="35"/>
      <c r="AV72" s="35"/>
      <c r="AW72" s="35"/>
      <c r="AX72" s="35"/>
      <c r="AY72" s="35"/>
      <c r="AZ72" s="35"/>
      <c r="BA72" s="35"/>
      <c r="BB72" s="35"/>
      <c r="BC72" s="40"/>
      <c r="BD72" s="54"/>
      <c r="BE72" s="84"/>
      <c r="BF72" s="85"/>
      <c r="BG72" s="85"/>
      <c r="BH72" s="85"/>
      <c r="BI72" s="84"/>
      <c r="BJ72" s="85"/>
      <c r="BK72" s="85"/>
      <c r="BL72" s="85"/>
      <c r="BM72" s="84"/>
      <c r="BN72" s="85"/>
      <c r="BO72" s="85"/>
      <c r="BP72" s="87"/>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88" t="s">
        <v>34</v>
      </c>
      <c r="E75" s="89"/>
      <c r="F75" s="89"/>
      <c r="G75" s="89"/>
      <c r="H75" s="89"/>
      <c r="I75" s="89"/>
      <c r="J75" s="89"/>
      <c r="K75" s="89"/>
      <c r="L75" s="89"/>
      <c r="M75" s="90"/>
      <c r="N75" s="97" t="str">
        <f>IF([6]回答表!AD42="○","○","")</f>
        <v/>
      </c>
      <c r="O75" s="98"/>
      <c r="P75" s="98"/>
      <c r="Q75" s="99"/>
      <c r="R75" s="39"/>
      <c r="S75" s="39"/>
      <c r="T75" s="39"/>
      <c r="U75" s="106" t="str">
        <f>IF([6]回答表!AD42="○",[6]回答表!B137,"")</f>
        <v/>
      </c>
      <c r="V75" s="107"/>
      <c r="W75" s="107"/>
      <c r="X75" s="107"/>
      <c r="Y75" s="107"/>
      <c r="Z75" s="107"/>
      <c r="AA75" s="107"/>
      <c r="AB75" s="107"/>
      <c r="AC75" s="107"/>
      <c r="AD75" s="107"/>
      <c r="AE75" s="107"/>
      <c r="AF75" s="107"/>
      <c r="AG75" s="107"/>
      <c r="AH75" s="107"/>
      <c r="AI75" s="107"/>
      <c r="AJ75" s="108"/>
      <c r="AK75" s="56"/>
      <c r="AL75" s="56"/>
      <c r="AM75" s="106" t="str">
        <f>IF([6]回答表!AD42="○",[6]回答表!B143,"")</f>
        <v/>
      </c>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38"/>
      <c r="BR75" s="25"/>
    </row>
    <row r="76" spans="1:70" ht="15.6" customHeight="1" x14ac:dyDescent="0.4">
      <c r="C76" s="33"/>
      <c r="D76" s="91"/>
      <c r="E76" s="92"/>
      <c r="F76" s="92"/>
      <c r="G76" s="92"/>
      <c r="H76" s="92"/>
      <c r="I76" s="92"/>
      <c r="J76" s="92"/>
      <c r="K76" s="92"/>
      <c r="L76" s="92"/>
      <c r="M76" s="93"/>
      <c r="N76" s="100"/>
      <c r="O76" s="101"/>
      <c r="P76" s="101"/>
      <c r="Q76" s="102"/>
      <c r="R76" s="39"/>
      <c r="S76" s="39"/>
      <c r="T76" s="39"/>
      <c r="U76" s="109"/>
      <c r="V76" s="110"/>
      <c r="W76" s="110"/>
      <c r="X76" s="110"/>
      <c r="Y76" s="110"/>
      <c r="Z76" s="110"/>
      <c r="AA76" s="110"/>
      <c r="AB76" s="110"/>
      <c r="AC76" s="110"/>
      <c r="AD76" s="110"/>
      <c r="AE76" s="110"/>
      <c r="AF76" s="110"/>
      <c r="AG76" s="110"/>
      <c r="AH76" s="110"/>
      <c r="AI76" s="110"/>
      <c r="AJ76" s="111"/>
      <c r="AK76" s="56"/>
      <c r="AL76" s="56"/>
      <c r="AM76" s="109"/>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38"/>
      <c r="BR76" s="25"/>
    </row>
    <row r="77" spans="1:70" ht="15.6" customHeight="1" x14ac:dyDescent="0.4">
      <c r="C77" s="33"/>
      <c r="D77" s="91"/>
      <c r="E77" s="92"/>
      <c r="F77" s="92"/>
      <c r="G77" s="92"/>
      <c r="H77" s="92"/>
      <c r="I77" s="92"/>
      <c r="J77" s="92"/>
      <c r="K77" s="92"/>
      <c r="L77" s="92"/>
      <c r="M77" s="93"/>
      <c r="N77" s="100"/>
      <c r="O77" s="101"/>
      <c r="P77" s="101"/>
      <c r="Q77" s="102"/>
      <c r="R77" s="39"/>
      <c r="S77" s="39"/>
      <c r="T77" s="39"/>
      <c r="U77" s="109"/>
      <c r="V77" s="110"/>
      <c r="W77" s="110"/>
      <c r="X77" s="110"/>
      <c r="Y77" s="110"/>
      <c r="Z77" s="110"/>
      <c r="AA77" s="110"/>
      <c r="AB77" s="110"/>
      <c r="AC77" s="110"/>
      <c r="AD77" s="110"/>
      <c r="AE77" s="110"/>
      <c r="AF77" s="110"/>
      <c r="AG77" s="110"/>
      <c r="AH77" s="110"/>
      <c r="AI77" s="110"/>
      <c r="AJ77" s="111"/>
      <c r="AK77" s="56"/>
      <c r="AL77" s="56"/>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38"/>
      <c r="BR77" s="25"/>
    </row>
    <row r="78" spans="1:70" ht="15.6" customHeight="1" x14ac:dyDescent="0.4">
      <c r="C78" s="33"/>
      <c r="D78" s="94"/>
      <c r="E78" s="95"/>
      <c r="F78" s="95"/>
      <c r="G78" s="95"/>
      <c r="H78" s="95"/>
      <c r="I78" s="95"/>
      <c r="J78" s="95"/>
      <c r="K78" s="95"/>
      <c r="L78" s="95"/>
      <c r="M78" s="96"/>
      <c r="N78" s="103"/>
      <c r="O78" s="104"/>
      <c r="P78" s="104"/>
      <c r="Q78" s="105"/>
      <c r="R78" s="39"/>
      <c r="S78" s="39"/>
      <c r="T78" s="39"/>
      <c r="U78" s="112"/>
      <c r="V78" s="113"/>
      <c r="W78" s="113"/>
      <c r="X78" s="113"/>
      <c r="Y78" s="113"/>
      <c r="Z78" s="113"/>
      <c r="AA78" s="113"/>
      <c r="AB78" s="113"/>
      <c r="AC78" s="113"/>
      <c r="AD78" s="113"/>
      <c r="AE78" s="113"/>
      <c r="AF78" s="113"/>
      <c r="AG78" s="113"/>
      <c r="AH78" s="113"/>
      <c r="AI78" s="113"/>
      <c r="AJ78" s="114"/>
      <c r="AK78" s="56"/>
      <c r="AL78" s="56"/>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3"/>
      <c r="AS81" s="153"/>
      <c r="AT81" s="153"/>
      <c r="AU81" s="153"/>
      <c r="AV81" s="153"/>
      <c r="AW81" s="153"/>
      <c r="AX81" s="153"/>
      <c r="AY81" s="153"/>
      <c r="AZ81" s="153"/>
      <c r="BA81" s="153"/>
      <c r="BB81" s="153"/>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78"/>
      <c r="AS82" s="178"/>
      <c r="AT82" s="178"/>
      <c r="AU82" s="178"/>
      <c r="AV82" s="178"/>
      <c r="AW82" s="178"/>
      <c r="AX82" s="178"/>
      <c r="AY82" s="178"/>
      <c r="AZ82" s="178"/>
      <c r="BA82" s="178"/>
      <c r="BB82" s="178"/>
      <c r="BC82" s="34"/>
      <c r="BD82" s="35"/>
      <c r="BE82" s="35"/>
      <c r="BF82" s="35"/>
      <c r="BG82" s="35"/>
      <c r="BH82" s="35"/>
      <c r="BI82" s="35"/>
      <c r="BJ82" s="35"/>
      <c r="BK82" s="35"/>
      <c r="BL82" s="35"/>
      <c r="BM82" s="36"/>
      <c r="BN82" s="36"/>
      <c r="BO82" s="36"/>
      <c r="BP82" s="37"/>
      <c r="BQ82" s="38"/>
    </row>
    <row r="83" spans="3:69" ht="15.6" customHeight="1" x14ac:dyDescent="0.5">
      <c r="C83" s="33"/>
      <c r="D83" s="128" t="s">
        <v>14</v>
      </c>
      <c r="E83" s="129"/>
      <c r="F83" s="129"/>
      <c r="G83" s="129"/>
      <c r="H83" s="129"/>
      <c r="I83" s="129"/>
      <c r="J83" s="129"/>
      <c r="K83" s="129"/>
      <c r="L83" s="129"/>
      <c r="M83" s="129"/>
      <c r="N83" s="129"/>
      <c r="O83" s="129"/>
      <c r="P83" s="129"/>
      <c r="Q83" s="130"/>
      <c r="R83" s="88" t="s">
        <v>39</v>
      </c>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34"/>
      <c r="BD83" s="35"/>
      <c r="BE83" s="35"/>
      <c r="BF83" s="35"/>
      <c r="BG83" s="35"/>
      <c r="BH83" s="35"/>
      <c r="BI83" s="35"/>
      <c r="BJ83" s="35"/>
      <c r="BK83" s="35"/>
      <c r="BL83" s="35"/>
      <c r="BM83" s="36"/>
      <c r="BN83" s="36"/>
      <c r="BO83" s="36"/>
      <c r="BP83" s="37"/>
      <c r="BQ83" s="38"/>
    </row>
    <row r="84" spans="3:69" ht="15.6" customHeight="1" x14ac:dyDescent="0.5">
      <c r="C84" s="33"/>
      <c r="D84" s="131"/>
      <c r="E84" s="132"/>
      <c r="F84" s="132"/>
      <c r="G84" s="132"/>
      <c r="H84" s="132"/>
      <c r="I84" s="132"/>
      <c r="J84" s="132"/>
      <c r="K84" s="132"/>
      <c r="L84" s="132"/>
      <c r="M84" s="132"/>
      <c r="N84" s="132"/>
      <c r="O84" s="132"/>
      <c r="P84" s="132"/>
      <c r="Q84" s="133"/>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6"/>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2" t="s">
        <v>18</v>
      </c>
      <c r="E87" s="172"/>
      <c r="F87" s="172"/>
      <c r="G87" s="172"/>
      <c r="H87" s="172"/>
      <c r="I87" s="172"/>
      <c r="J87" s="172"/>
      <c r="K87" s="172"/>
      <c r="L87" s="172"/>
      <c r="M87" s="172"/>
      <c r="N87" s="97" t="str">
        <f>IF([6]回答表!F17="水道事業",IF([6]回答表!X43="○","○",""),"")</f>
        <v/>
      </c>
      <c r="O87" s="98"/>
      <c r="P87" s="98"/>
      <c r="Q87" s="99"/>
      <c r="R87" s="39"/>
      <c r="S87" s="39"/>
      <c r="T87" s="39"/>
      <c r="U87" s="179" t="s">
        <v>41</v>
      </c>
      <c r="V87" s="180"/>
      <c r="W87" s="180"/>
      <c r="X87" s="180"/>
      <c r="Y87" s="180"/>
      <c r="Z87" s="180"/>
      <c r="AA87" s="180"/>
      <c r="AB87" s="180"/>
      <c r="AC87" s="179" t="s">
        <v>42</v>
      </c>
      <c r="AD87" s="180"/>
      <c r="AE87" s="180"/>
      <c r="AF87" s="180"/>
      <c r="AG87" s="180"/>
      <c r="AH87" s="180"/>
      <c r="AI87" s="180"/>
      <c r="AJ87" s="189"/>
      <c r="AK87" s="50"/>
      <c r="AL87" s="50"/>
      <c r="AM87" s="106" t="str">
        <f>IF([6]回答表!F17="水道事業",IF([6]回答表!X43="○",[6]回答表!B154,IF([6]回答表!AA43="○",[6]回答表!B201,"")),"")</f>
        <v/>
      </c>
      <c r="AN87" s="107"/>
      <c r="AO87" s="107"/>
      <c r="AP87" s="107"/>
      <c r="AQ87" s="107"/>
      <c r="AR87" s="107"/>
      <c r="AS87" s="107"/>
      <c r="AT87" s="107"/>
      <c r="AU87" s="107"/>
      <c r="AV87" s="107"/>
      <c r="AW87" s="107"/>
      <c r="AX87" s="107"/>
      <c r="AY87" s="107"/>
      <c r="AZ87" s="107"/>
      <c r="BA87" s="107"/>
      <c r="BB87" s="108"/>
      <c r="BC87" s="40"/>
      <c r="BD87" s="35"/>
      <c r="BE87" s="115" t="str">
        <f>IF([6]回答表!F17="水道事業",IF([6]回答表!X43="○",[6]回答表!B190,IF([6]回答表!AA43="○",[6]回答表!B238,"")),"")</f>
        <v/>
      </c>
      <c r="BF87" s="116"/>
      <c r="BG87" s="116"/>
      <c r="BH87" s="116"/>
      <c r="BI87" s="115"/>
      <c r="BJ87" s="116"/>
      <c r="BK87" s="116"/>
      <c r="BL87" s="116"/>
      <c r="BM87" s="115"/>
      <c r="BN87" s="116"/>
      <c r="BO87" s="116"/>
      <c r="BP87" s="117"/>
      <c r="BQ87" s="38"/>
    </row>
    <row r="88" spans="3:69" ht="19.350000000000001" customHeight="1" x14ac:dyDescent="0.4">
      <c r="C88" s="33"/>
      <c r="D88" s="172"/>
      <c r="E88" s="172"/>
      <c r="F88" s="172"/>
      <c r="G88" s="172"/>
      <c r="H88" s="172"/>
      <c r="I88" s="172"/>
      <c r="J88" s="172"/>
      <c r="K88" s="172"/>
      <c r="L88" s="172"/>
      <c r="M88" s="172"/>
      <c r="N88" s="100"/>
      <c r="O88" s="101"/>
      <c r="P88" s="101"/>
      <c r="Q88" s="102"/>
      <c r="R88" s="39"/>
      <c r="S88" s="39"/>
      <c r="T88" s="39"/>
      <c r="U88" s="181"/>
      <c r="V88" s="182"/>
      <c r="W88" s="182"/>
      <c r="X88" s="182"/>
      <c r="Y88" s="182"/>
      <c r="Z88" s="182"/>
      <c r="AA88" s="182"/>
      <c r="AB88" s="182"/>
      <c r="AC88" s="181"/>
      <c r="AD88" s="182"/>
      <c r="AE88" s="182"/>
      <c r="AF88" s="182"/>
      <c r="AG88" s="182"/>
      <c r="AH88" s="182"/>
      <c r="AI88" s="182"/>
      <c r="AJ88" s="190"/>
      <c r="AK88" s="50"/>
      <c r="AL88" s="50"/>
      <c r="AM88" s="109"/>
      <c r="AN88" s="110"/>
      <c r="AO88" s="110"/>
      <c r="AP88" s="110"/>
      <c r="AQ88" s="110"/>
      <c r="AR88" s="110"/>
      <c r="AS88" s="110"/>
      <c r="AT88" s="110"/>
      <c r="AU88" s="110"/>
      <c r="AV88" s="110"/>
      <c r="AW88" s="110"/>
      <c r="AX88" s="110"/>
      <c r="AY88" s="110"/>
      <c r="AZ88" s="110"/>
      <c r="BA88" s="110"/>
      <c r="BB88" s="111"/>
      <c r="BC88" s="40"/>
      <c r="BD88" s="35"/>
      <c r="BE88" s="82"/>
      <c r="BF88" s="83"/>
      <c r="BG88" s="83"/>
      <c r="BH88" s="83"/>
      <c r="BI88" s="82"/>
      <c r="BJ88" s="83"/>
      <c r="BK88" s="83"/>
      <c r="BL88" s="83"/>
      <c r="BM88" s="82"/>
      <c r="BN88" s="83"/>
      <c r="BO88" s="83"/>
      <c r="BP88" s="86"/>
      <c r="BQ88" s="38"/>
    </row>
    <row r="89" spans="3:69" ht="15.6" customHeight="1" x14ac:dyDescent="0.4">
      <c r="C89" s="33"/>
      <c r="D89" s="172"/>
      <c r="E89" s="172"/>
      <c r="F89" s="172"/>
      <c r="G89" s="172"/>
      <c r="H89" s="172"/>
      <c r="I89" s="172"/>
      <c r="J89" s="172"/>
      <c r="K89" s="172"/>
      <c r="L89" s="172"/>
      <c r="M89" s="172"/>
      <c r="N89" s="100"/>
      <c r="O89" s="101"/>
      <c r="P89" s="101"/>
      <c r="Q89" s="102"/>
      <c r="R89" s="39"/>
      <c r="S89" s="39"/>
      <c r="T89" s="39"/>
      <c r="U89" s="118" t="str">
        <f>IF([6]回答表!F17="水道事業",IF([6]回答表!X43="○",[6]回答表!J162,IF([6]回答表!AA43="○",[6]回答表!J209,"")),"")</f>
        <v/>
      </c>
      <c r="V89" s="119"/>
      <c r="W89" s="119"/>
      <c r="X89" s="119"/>
      <c r="Y89" s="119"/>
      <c r="Z89" s="119"/>
      <c r="AA89" s="119"/>
      <c r="AB89" s="120"/>
      <c r="AC89" s="118" t="str">
        <f>IF([6]回答表!F17="水道事業",IF([6]回答表!X43="○",[6]回答表!J169,IF([6]回答表!AA43="○",[6]回答表!J216,"")),"")</f>
        <v/>
      </c>
      <c r="AD89" s="119"/>
      <c r="AE89" s="119"/>
      <c r="AF89" s="119"/>
      <c r="AG89" s="119"/>
      <c r="AH89" s="119"/>
      <c r="AI89" s="119"/>
      <c r="AJ89" s="120"/>
      <c r="AK89" s="50"/>
      <c r="AL89" s="50"/>
      <c r="AM89" s="109"/>
      <c r="AN89" s="110"/>
      <c r="AO89" s="110"/>
      <c r="AP89" s="110"/>
      <c r="AQ89" s="110"/>
      <c r="AR89" s="110"/>
      <c r="AS89" s="110"/>
      <c r="AT89" s="110"/>
      <c r="AU89" s="110"/>
      <c r="AV89" s="110"/>
      <c r="AW89" s="110"/>
      <c r="AX89" s="110"/>
      <c r="AY89" s="110"/>
      <c r="AZ89" s="110"/>
      <c r="BA89" s="110"/>
      <c r="BB89" s="111"/>
      <c r="BC89" s="40"/>
      <c r="BD89" s="35"/>
      <c r="BE89" s="82"/>
      <c r="BF89" s="83"/>
      <c r="BG89" s="83"/>
      <c r="BH89" s="83"/>
      <c r="BI89" s="82"/>
      <c r="BJ89" s="83"/>
      <c r="BK89" s="83"/>
      <c r="BL89" s="83"/>
      <c r="BM89" s="82"/>
      <c r="BN89" s="83"/>
      <c r="BO89" s="83"/>
      <c r="BP89" s="86"/>
      <c r="BQ89" s="38"/>
    </row>
    <row r="90" spans="3:69" ht="15.6" customHeight="1" x14ac:dyDescent="0.4">
      <c r="C90" s="33"/>
      <c r="D90" s="172"/>
      <c r="E90" s="172"/>
      <c r="F90" s="172"/>
      <c r="G90" s="172"/>
      <c r="H90" s="172"/>
      <c r="I90" s="172"/>
      <c r="J90" s="172"/>
      <c r="K90" s="172"/>
      <c r="L90" s="172"/>
      <c r="M90" s="172"/>
      <c r="N90" s="103"/>
      <c r="O90" s="104"/>
      <c r="P90" s="104"/>
      <c r="Q90" s="105"/>
      <c r="R90" s="39"/>
      <c r="S90" s="39"/>
      <c r="T90" s="39"/>
      <c r="U90" s="121"/>
      <c r="V90" s="122"/>
      <c r="W90" s="122"/>
      <c r="X90" s="122"/>
      <c r="Y90" s="122"/>
      <c r="Z90" s="122"/>
      <c r="AA90" s="122"/>
      <c r="AB90" s="123"/>
      <c r="AC90" s="121"/>
      <c r="AD90" s="122"/>
      <c r="AE90" s="122"/>
      <c r="AF90" s="122"/>
      <c r="AG90" s="122"/>
      <c r="AH90" s="122"/>
      <c r="AI90" s="122"/>
      <c r="AJ90" s="123"/>
      <c r="AK90" s="50"/>
      <c r="AL90" s="50"/>
      <c r="AM90" s="109"/>
      <c r="AN90" s="110"/>
      <c r="AO90" s="110"/>
      <c r="AP90" s="110"/>
      <c r="AQ90" s="110"/>
      <c r="AR90" s="110"/>
      <c r="AS90" s="110"/>
      <c r="AT90" s="110"/>
      <c r="AU90" s="110"/>
      <c r="AV90" s="110"/>
      <c r="AW90" s="110"/>
      <c r="AX90" s="110"/>
      <c r="AY90" s="110"/>
      <c r="AZ90" s="110"/>
      <c r="BA90" s="110"/>
      <c r="BB90" s="111"/>
      <c r="BC90" s="40"/>
      <c r="BD90" s="35"/>
      <c r="BE90" s="82" t="str">
        <f>IF([6]回答表!F17="水道事業",IF([6]回答表!X43="○",[6]回答表!E190,IF([6]回答表!AA43="○",[6]回答表!E238,"")),"")</f>
        <v/>
      </c>
      <c r="BF90" s="83"/>
      <c r="BG90" s="83"/>
      <c r="BH90" s="83"/>
      <c r="BI90" s="82" t="str">
        <f>IF([6]回答表!F17="水道事業",IF([6]回答表!X43="○",[6]回答表!E191,IF([6]回答表!AA43="○",[6]回答表!E239,"")),"")</f>
        <v/>
      </c>
      <c r="BJ90" s="83"/>
      <c r="BK90" s="83"/>
      <c r="BL90" s="83"/>
      <c r="BM90" s="82" t="str">
        <f>IF([6]回答表!F17="水道事業",IF([6]回答表!X43="○",[6]回答表!E192,IF([6]回答表!AA43="○",[6]回答表!E240,"")),"")</f>
        <v/>
      </c>
      <c r="BN90" s="83"/>
      <c r="BO90" s="83"/>
      <c r="BP90" s="86"/>
      <c r="BQ90" s="38"/>
    </row>
    <row r="91" spans="3:69" ht="15.6" customHeight="1" x14ac:dyDescent="0.4">
      <c r="C91" s="33"/>
      <c r="D91" s="51"/>
      <c r="E91" s="51"/>
      <c r="F91" s="51"/>
      <c r="G91" s="51"/>
      <c r="H91" s="51"/>
      <c r="I91" s="51"/>
      <c r="J91" s="51"/>
      <c r="K91" s="51"/>
      <c r="L91" s="51"/>
      <c r="M91" s="51"/>
      <c r="N91" s="52"/>
      <c r="O91" s="52"/>
      <c r="P91" s="52"/>
      <c r="Q91" s="52"/>
      <c r="R91" s="53"/>
      <c r="S91" s="53"/>
      <c r="T91" s="53"/>
      <c r="U91" s="124"/>
      <c r="V91" s="125"/>
      <c r="W91" s="125"/>
      <c r="X91" s="125"/>
      <c r="Y91" s="125"/>
      <c r="Z91" s="125"/>
      <c r="AA91" s="125"/>
      <c r="AB91" s="126"/>
      <c r="AC91" s="124"/>
      <c r="AD91" s="125"/>
      <c r="AE91" s="125"/>
      <c r="AF91" s="125"/>
      <c r="AG91" s="125"/>
      <c r="AH91" s="125"/>
      <c r="AI91" s="125"/>
      <c r="AJ91" s="126"/>
      <c r="AK91" s="50"/>
      <c r="AL91" s="50"/>
      <c r="AM91" s="109"/>
      <c r="AN91" s="110"/>
      <c r="AO91" s="110"/>
      <c r="AP91" s="110"/>
      <c r="AQ91" s="110"/>
      <c r="AR91" s="110"/>
      <c r="AS91" s="110"/>
      <c r="AT91" s="110"/>
      <c r="AU91" s="110"/>
      <c r="AV91" s="110"/>
      <c r="AW91" s="110"/>
      <c r="AX91" s="110"/>
      <c r="AY91" s="110"/>
      <c r="AZ91" s="110"/>
      <c r="BA91" s="110"/>
      <c r="BB91" s="111"/>
      <c r="BC91" s="40"/>
      <c r="BD91" s="40"/>
      <c r="BE91" s="82"/>
      <c r="BF91" s="83"/>
      <c r="BG91" s="83"/>
      <c r="BH91" s="83"/>
      <c r="BI91" s="82"/>
      <c r="BJ91" s="83"/>
      <c r="BK91" s="83"/>
      <c r="BL91" s="83"/>
      <c r="BM91" s="82"/>
      <c r="BN91" s="83"/>
      <c r="BO91" s="83"/>
      <c r="BP91" s="86"/>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79" t="s">
        <v>43</v>
      </c>
      <c r="V92" s="180"/>
      <c r="W92" s="180"/>
      <c r="X92" s="180"/>
      <c r="Y92" s="180"/>
      <c r="Z92" s="180"/>
      <c r="AA92" s="180"/>
      <c r="AB92" s="180"/>
      <c r="AC92" s="179" t="s">
        <v>44</v>
      </c>
      <c r="AD92" s="180"/>
      <c r="AE92" s="180"/>
      <c r="AF92" s="180"/>
      <c r="AG92" s="180"/>
      <c r="AH92" s="180"/>
      <c r="AI92" s="180"/>
      <c r="AJ92" s="189"/>
      <c r="AK92" s="50"/>
      <c r="AL92" s="50"/>
      <c r="AM92" s="109"/>
      <c r="AN92" s="110"/>
      <c r="AO92" s="110"/>
      <c r="AP92" s="110"/>
      <c r="AQ92" s="110"/>
      <c r="AR92" s="110"/>
      <c r="AS92" s="110"/>
      <c r="AT92" s="110"/>
      <c r="AU92" s="110"/>
      <c r="AV92" s="110"/>
      <c r="AW92" s="110"/>
      <c r="AX92" s="110"/>
      <c r="AY92" s="110"/>
      <c r="AZ92" s="110"/>
      <c r="BA92" s="110"/>
      <c r="BB92" s="111"/>
      <c r="BC92" s="40"/>
      <c r="BD92" s="35"/>
      <c r="BE92" s="82"/>
      <c r="BF92" s="83"/>
      <c r="BG92" s="83"/>
      <c r="BH92" s="83"/>
      <c r="BI92" s="82"/>
      <c r="BJ92" s="83"/>
      <c r="BK92" s="83"/>
      <c r="BL92" s="83"/>
      <c r="BM92" s="82"/>
      <c r="BN92" s="83"/>
      <c r="BO92" s="83"/>
      <c r="BP92" s="86"/>
      <c r="BQ92" s="38"/>
    </row>
    <row r="93" spans="3:69" ht="19.350000000000001" customHeight="1" x14ac:dyDescent="0.4">
      <c r="C93" s="33"/>
      <c r="D93" s="177" t="s">
        <v>26</v>
      </c>
      <c r="E93" s="172"/>
      <c r="F93" s="172"/>
      <c r="G93" s="172"/>
      <c r="H93" s="172"/>
      <c r="I93" s="172"/>
      <c r="J93" s="172"/>
      <c r="K93" s="172"/>
      <c r="L93" s="172"/>
      <c r="M93" s="173"/>
      <c r="N93" s="97" t="str">
        <f>IF([6]回答表!F17="水道事業",IF([6]回答表!AA43="○","○",""),"")</f>
        <v/>
      </c>
      <c r="O93" s="98"/>
      <c r="P93" s="98"/>
      <c r="Q93" s="99"/>
      <c r="R93" s="39"/>
      <c r="S93" s="39"/>
      <c r="T93" s="39"/>
      <c r="U93" s="181"/>
      <c r="V93" s="182"/>
      <c r="W93" s="182"/>
      <c r="X93" s="182"/>
      <c r="Y93" s="182"/>
      <c r="Z93" s="182"/>
      <c r="AA93" s="182"/>
      <c r="AB93" s="182"/>
      <c r="AC93" s="181"/>
      <c r="AD93" s="182"/>
      <c r="AE93" s="182"/>
      <c r="AF93" s="182"/>
      <c r="AG93" s="182"/>
      <c r="AH93" s="182"/>
      <c r="AI93" s="182"/>
      <c r="AJ93" s="190"/>
      <c r="AK93" s="50"/>
      <c r="AL93" s="50"/>
      <c r="AM93" s="109"/>
      <c r="AN93" s="110"/>
      <c r="AO93" s="110"/>
      <c r="AP93" s="110"/>
      <c r="AQ93" s="110"/>
      <c r="AR93" s="110"/>
      <c r="AS93" s="110"/>
      <c r="AT93" s="110"/>
      <c r="AU93" s="110"/>
      <c r="AV93" s="110"/>
      <c r="AW93" s="110"/>
      <c r="AX93" s="110"/>
      <c r="AY93" s="110"/>
      <c r="AZ93" s="110"/>
      <c r="BA93" s="110"/>
      <c r="BB93" s="111"/>
      <c r="BC93" s="40"/>
      <c r="BD93" s="54"/>
      <c r="BE93" s="82"/>
      <c r="BF93" s="83"/>
      <c r="BG93" s="83"/>
      <c r="BH93" s="83"/>
      <c r="BI93" s="82"/>
      <c r="BJ93" s="83"/>
      <c r="BK93" s="83"/>
      <c r="BL93" s="83"/>
      <c r="BM93" s="82"/>
      <c r="BN93" s="83"/>
      <c r="BO93" s="83"/>
      <c r="BP93" s="86"/>
      <c r="BQ93" s="38"/>
    </row>
    <row r="94" spans="3:69" ht="15.6" customHeight="1" x14ac:dyDescent="0.4">
      <c r="C94" s="33"/>
      <c r="D94" s="172"/>
      <c r="E94" s="172"/>
      <c r="F94" s="172"/>
      <c r="G94" s="172"/>
      <c r="H94" s="172"/>
      <c r="I94" s="172"/>
      <c r="J94" s="172"/>
      <c r="K94" s="172"/>
      <c r="L94" s="172"/>
      <c r="M94" s="173"/>
      <c r="N94" s="100"/>
      <c r="O94" s="101"/>
      <c r="P94" s="101"/>
      <c r="Q94" s="102"/>
      <c r="R94" s="39"/>
      <c r="S94" s="39"/>
      <c r="T94" s="39"/>
      <c r="U94" s="118" t="str">
        <f>IF([6]回答表!F17="水道事業",IF([6]回答表!X43="○",[6]回答表!J172,IF([6]回答表!AA43="○",[6]回答表!J219,"")),"")</f>
        <v/>
      </c>
      <c r="V94" s="119"/>
      <c r="W94" s="119"/>
      <c r="X94" s="119"/>
      <c r="Y94" s="119"/>
      <c r="Z94" s="119"/>
      <c r="AA94" s="119"/>
      <c r="AB94" s="120"/>
      <c r="AC94" s="118" t="str">
        <f>IF([6]回答表!F17="水道事業",IF([6]回答表!X43="○",[6]回答表!J176,IF([6]回答表!AA43="○",[6]回答表!J223,"")),"")</f>
        <v/>
      </c>
      <c r="AD94" s="119"/>
      <c r="AE94" s="119"/>
      <c r="AF94" s="119"/>
      <c r="AG94" s="119"/>
      <c r="AH94" s="119"/>
      <c r="AI94" s="119"/>
      <c r="AJ94" s="120"/>
      <c r="AK94" s="50"/>
      <c r="AL94" s="50"/>
      <c r="AM94" s="109"/>
      <c r="AN94" s="110"/>
      <c r="AO94" s="110"/>
      <c r="AP94" s="110"/>
      <c r="AQ94" s="110"/>
      <c r="AR94" s="110"/>
      <c r="AS94" s="110"/>
      <c r="AT94" s="110"/>
      <c r="AU94" s="110"/>
      <c r="AV94" s="110"/>
      <c r="AW94" s="110"/>
      <c r="AX94" s="110"/>
      <c r="AY94" s="110"/>
      <c r="AZ94" s="110"/>
      <c r="BA94" s="110"/>
      <c r="BB94" s="111"/>
      <c r="BC94" s="40"/>
      <c r="BD94" s="54"/>
      <c r="BE94" s="82" t="s">
        <v>23</v>
      </c>
      <c r="BF94" s="83"/>
      <c r="BG94" s="83"/>
      <c r="BH94" s="83"/>
      <c r="BI94" s="82" t="s">
        <v>24</v>
      </c>
      <c r="BJ94" s="83"/>
      <c r="BK94" s="83"/>
      <c r="BL94" s="83"/>
      <c r="BM94" s="82" t="s">
        <v>25</v>
      </c>
      <c r="BN94" s="83"/>
      <c r="BO94" s="83"/>
      <c r="BP94" s="86"/>
      <c r="BQ94" s="38"/>
    </row>
    <row r="95" spans="3:69" ht="15.6" customHeight="1" x14ac:dyDescent="0.4">
      <c r="C95" s="33"/>
      <c r="D95" s="172"/>
      <c r="E95" s="172"/>
      <c r="F95" s="172"/>
      <c r="G95" s="172"/>
      <c r="H95" s="172"/>
      <c r="I95" s="172"/>
      <c r="J95" s="172"/>
      <c r="K95" s="172"/>
      <c r="L95" s="172"/>
      <c r="M95" s="173"/>
      <c r="N95" s="100"/>
      <c r="O95" s="101"/>
      <c r="P95" s="101"/>
      <c r="Q95" s="102"/>
      <c r="R95" s="39"/>
      <c r="S95" s="39"/>
      <c r="T95" s="39"/>
      <c r="U95" s="121"/>
      <c r="V95" s="122"/>
      <c r="W95" s="122"/>
      <c r="X95" s="122"/>
      <c r="Y95" s="122"/>
      <c r="Z95" s="122"/>
      <c r="AA95" s="122"/>
      <c r="AB95" s="123"/>
      <c r="AC95" s="121"/>
      <c r="AD95" s="122"/>
      <c r="AE95" s="122"/>
      <c r="AF95" s="122"/>
      <c r="AG95" s="122"/>
      <c r="AH95" s="122"/>
      <c r="AI95" s="122"/>
      <c r="AJ95" s="123"/>
      <c r="AK95" s="50"/>
      <c r="AL95" s="50"/>
      <c r="AM95" s="109"/>
      <c r="AN95" s="110"/>
      <c r="AO95" s="110"/>
      <c r="AP95" s="110"/>
      <c r="AQ95" s="110"/>
      <c r="AR95" s="110"/>
      <c r="AS95" s="110"/>
      <c r="AT95" s="110"/>
      <c r="AU95" s="110"/>
      <c r="AV95" s="110"/>
      <c r="AW95" s="110"/>
      <c r="AX95" s="110"/>
      <c r="AY95" s="110"/>
      <c r="AZ95" s="110"/>
      <c r="BA95" s="110"/>
      <c r="BB95" s="111"/>
      <c r="BC95" s="40"/>
      <c r="BD95" s="54"/>
      <c r="BE95" s="82"/>
      <c r="BF95" s="83"/>
      <c r="BG95" s="83"/>
      <c r="BH95" s="83"/>
      <c r="BI95" s="82"/>
      <c r="BJ95" s="83"/>
      <c r="BK95" s="83"/>
      <c r="BL95" s="83"/>
      <c r="BM95" s="82"/>
      <c r="BN95" s="83"/>
      <c r="BO95" s="83"/>
      <c r="BP95" s="86"/>
      <c r="BQ95" s="38"/>
    </row>
    <row r="96" spans="3:69" ht="15.6" customHeight="1" x14ac:dyDescent="0.4">
      <c r="C96" s="33"/>
      <c r="D96" s="172"/>
      <c r="E96" s="172"/>
      <c r="F96" s="172"/>
      <c r="G96" s="172"/>
      <c r="H96" s="172"/>
      <c r="I96" s="172"/>
      <c r="J96" s="172"/>
      <c r="K96" s="172"/>
      <c r="L96" s="172"/>
      <c r="M96" s="173"/>
      <c r="N96" s="103"/>
      <c r="O96" s="104"/>
      <c r="P96" s="104"/>
      <c r="Q96" s="105"/>
      <c r="R96" s="39"/>
      <c r="S96" s="39"/>
      <c r="T96" s="39"/>
      <c r="U96" s="124"/>
      <c r="V96" s="125"/>
      <c r="W96" s="125"/>
      <c r="X96" s="125"/>
      <c r="Y96" s="125"/>
      <c r="Z96" s="125"/>
      <c r="AA96" s="125"/>
      <c r="AB96" s="126"/>
      <c r="AC96" s="124"/>
      <c r="AD96" s="125"/>
      <c r="AE96" s="125"/>
      <c r="AF96" s="125"/>
      <c r="AG96" s="125"/>
      <c r="AH96" s="125"/>
      <c r="AI96" s="125"/>
      <c r="AJ96" s="126"/>
      <c r="AK96" s="50"/>
      <c r="AL96" s="50"/>
      <c r="AM96" s="112"/>
      <c r="AN96" s="113"/>
      <c r="AO96" s="113"/>
      <c r="AP96" s="113"/>
      <c r="AQ96" s="113"/>
      <c r="AR96" s="113"/>
      <c r="AS96" s="113"/>
      <c r="AT96" s="113"/>
      <c r="AU96" s="113"/>
      <c r="AV96" s="113"/>
      <c r="AW96" s="113"/>
      <c r="AX96" s="113"/>
      <c r="AY96" s="113"/>
      <c r="AZ96" s="113"/>
      <c r="BA96" s="113"/>
      <c r="BB96" s="114"/>
      <c r="BC96" s="40"/>
      <c r="BD96" s="54"/>
      <c r="BE96" s="84"/>
      <c r="BF96" s="85"/>
      <c r="BG96" s="85"/>
      <c r="BH96" s="85"/>
      <c r="BI96" s="84"/>
      <c r="BJ96" s="85"/>
      <c r="BK96" s="85"/>
      <c r="BL96" s="85"/>
      <c r="BM96" s="84"/>
      <c r="BN96" s="85"/>
      <c r="BO96" s="85"/>
      <c r="BP96" s="87"/>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2" t="s">
        <v>34</v>
      </c>
      <c r="E99" s="172"/>
      <c r="F99" s="172"/>
      <c r="G99" s="172"/>
      <c r="H99" s="172"/>
      <c r="I99" s="172"/>
      <c r="J99" s="172"/>
      <c r="K99" s="172"/>
      <c r="L99" s="172"/>
      <c r="M99" s="173"/>
      <c r="N99" s="97" t="str">
        <f>IF([6]回答表!F17="水道事業",IF([6]回答表!AD43="○","○",""),"")</f>
        <v/>
      </c>
      <c r="O99" s="98"/>
      <c r="P99" s="98"/>
      <c r="Q99" s="99"/>
      <c r="R99" s="39"/>
      <c r="S99" s="39"/>
      <c r="T99" s="39"/>
      <c r="U99" s="106" t="str">
        <f>IF([6]回答表!F17="水道事業",IF([6]回答表!AD43="○",[6]回答表!B249,""),"")</f>
        <v/>
      </c>
      <c r="V99" s="107"/>
      <c r="W99" s="107"/>
      <c r="X99" s="107"/>
      <c r="Y99" s="107"/>
      <c r="Z99" s="107"/>
      <c r="AA99" s="107"/>
      <c r="AB99" s="107"/>
      <c r="AC99" s="107"/>
      <c r="AD99" s="107"/>
      <c r="AE99" s="107"/>
      <c r="AF99" s="107"/>
      <c r="AG99" s="107"/>
      <c r="AH99" s="107"/>
      <c r="AI99" s="107"/>
      <c r="AJ99" s="108"/>
      <c r="AK99" s="56"/>
      <c r="AL99" s="56"/>
      <c r="AM99" s="106" t="str">
        <f>IF([6]回答表!F17="水道事業",IF([6]回答表!AD43="○",[6]回答表!B255,""),"")</f>
        <v/>
      </c>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8"/>
      <c r="BQ99" s="38"/>
    </row>
    <row r="100" spans="1:70" ht="15.6" customHeight="1" x14ac:dyDescent="0.4">
      <c r="C100" s="33"/>
      <c r="D100" s="172"/>
      <c r="E100" s="172"/>
      <c r="F100" s="172"/>
      <c r="G100" s="172"/>
      <c r="H100" s="172"/>
      <c r="I100" s="172"/>
      <c r="J100" s="172"/>
      <c r="K100" s="172"/>
      <c r="L100" s="172"/>
      <c r="M100" s="173"/>
      <c r="N100" s="100"/>
      <c r="O100" s="101"/>
      <c r="P100" s="101"/>
      <c r="Q100" s="102"/>
      <c r="R100" s="39"/>
      <c r="S100" s="39"/>
      <c r="T100" s="39"/>
      <c r="U100" s="109"/>
      <c r="V100" s="110"/>
      <c r="W100" s="110"/>
      <c r="X100" s="110"/>
      <c r="Y100" s="110"/>
      <c r="Z100" s="110"/>
      <c r="AA100" s="110"/>
      <c r="AB100" s="110"/>
      <c r="AC100" s="110"/>
      <c r="AD100" s="110"/>
      <c r="AE100" s="110"/>
      <c r="AF100" s="110"/>
      <c r="AG100" s="110"/>
      <c r="AH100" s="110"/>
      <c r="AI100" s="110"/>
      <c r="AJ100" s="111"/>
      <c r="AK100" s="56"/>
      <c r="AL100" s="56"/>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38"/>
    </row>
    <row r="101" spans="1:70" ht="15.6" customHeight="1" x14ac:dyDescent="0.4">
      <c r="C101" s="33"/>
      <c r="D101" s="172"/>
      <c r="E101" s="172"/>
      <c r="F101" s="172"/>
      <c r="G101" s="172"/>
      <c r="H101" s="172"/>
      <c r="I101" s="172"/>
      <c r="J101" s="172"/>
      <c r="K101" s="172"/>
      <c r="L101" s="172"/>
      <c r="M101" s="173"/>
      <c r="N101" s="100"/>
      <c r="O101" s="101"/>
      <c r="P101" s="101"/>
      <c r="Q101" s="102"/>
      <c r="R101" s="39"/>
      <c r="S101" s="39"/>
      <c r="T101" s="39"/>
      <c r="U101" s="109"/>
      <c r="V101" s="110"/>
      <c r="W101" s="110"/>
      <c r="X101" s="110"/>
      <c r="Y101" s="110"/>
      <c r="Z101" s="110"/>
      <c r="AA101" s="110"/>
      <c r="AB101" s="110"/>
      <c r="AC101" s="110"/>
      <c r="AD101" s="110"/>
      <c r="AE101" s="110"/>
      <c r="AF101" s="110"/>
      <c r="AG101" s="110"/>
      <c r="AH101" s="110"/>
      <c r="AI101" s="110"/>
      <c r="AJ101" s="111"/>
      <c r="AK101" s="56"/>
      <c r="AL101" s="56"/>
      <c r="AM101" s="109"/>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1"/>
      <c r="BQ101" s="38"/>
    </row>
    <row r="102" spans="1:70" ht="15.6" customHeight="1" x14ac:dyDescent="0.4">
      <c r="C102" s="33"/>
      <c r="D102" s="172"/>
      <c r="E102" s="172"/>
      <c r="F102" s="172"/>
      <c r="G102" s="172"/>
      <c r="H102" s="172"/>
      <c r="I102" s="172"/>
      <c r="J102" s="172"/>
      <c r="K102" s="172"/>
      <c r="L102" s="172"/>
      <c r="M102" s="173"/>
      <c r="N102" s="103"/>
      <c r="O102" s="104"/>
      <c r="P102" s="104"/>
      <c r="Q102" s="105"/>
      <c r="R102" s="39"/>
      <c r="S102" s="39"/>
      <c r="T102" s="39"/>
      <c r="U102" s="112"/>
      <c r="V102" s="113"/>
      <c r="W102" s="113"/>
      <c r="X102" s="113"/>
      <c r="Y102" s="113"/>
      <c r="Z102" s="113"/>
      <c r="AA102" s="113"/>
      <c r="AB102" s="113"/>
      <c r="AC102" s="113"/>
      <c r="AD102" s="113"/>
      <c r="AE102" s="113"/>
      <c r="AF102" s="113"/>
      <c r="AG102" s="113"/>
      <c r="AH102" s="113"/>
      <c r="AI102" s="113"/>
      <c r="AJ102" s="114"/>
      <c r="AK102" s="56"/>
      <c r="AL102" s="56"/>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3"/>
      <c r="AS105" s="153"/>
      <c r="AT105" s="153"/>
      <c r="AU105" s="153"/>
      <c r="AV105" s="153"/>
      <c r="AW105" s="153"/>
      <c r="AX105" s="153"/>
      <c r="AY105" s="153"/>
      <c r="AZ105" s="153"/>
      <c r="BA105" s="153"/>
      <c r="BB105" s="153"/>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78"/>
      <c r="AS106" s="178"/>
      <c r="AT106" s="178"/>
      <c r="AU106" s="178"/>
      <c r="AV106" s="178"/>
      <c r="AW106" s="178"/>
      <c r="AX106" s="178"/>
      <c r="AY106" s="178"/>
      <c r="AZ106" s="178"/>
      <c r="BA106" s="178"/>
      <c r="BB106" s="178"/>
      <c r="BC106" s="34"/>
      <c r="BD106" s="35"/>
      <c r="BE106" s="35"/>
      <c r="BF106" s="35"/>
      <c r="BG106" s="35"/>
      <c r="BH106" s="35"/>
      <c r="BI106" s="35"/>
      <c r="BJ106" s="35"/>
      <c r="BK106" s="35"/>
      <c r="BL106" s="35"/>
      <c r="BM106" s="36"/>
      <c r="BN106" s="36"/>
      <c r="BO106" s="36"/>
      <c r="BP106" s="37"/>
      <c r="BQ106" s="38"/>
    </row>
    <row r="107" spans="1:70" ht="15.6" customHeight="1" x14ac:dyDescent="0.5">
      <c r="C107" s="33"/>
      <c r="D107" s="128" t="s">
        <v>14</v>
      </c>
      <c r="E107" s="129"/>
      <c r="F107" s="129"/>
      <c r="G107" s="129"/>
      <c r="H107" s="129"/>
      <c r="I107" s="129"/>
      <c r="J107" s="129"/>
      <c r="K107" s="129"/>
      <c r="L107" s="129"/>
      <c r="M107" s="129"/>
      <c r="N107" s="129"/>
      <c r="O107" s="129"/>
      <c r="P107" s="129"/>
      <c r="Q107" s="130"/>
      <c r="R107" s="88" t="s">
        <v>45</v>
      </c>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90"/>
      <c r="BC107" s="34"/>
      <c r="BD107" s="35"/>
      <c r="BE107" s="35"/>
      <c r="BF107" s="35"/>
      <c r="BG107" s="35"/>
      <c r="BH107" s="35"/>
      <c r="BI107" s="35"/>
      <c r="BJ107" s="35"/>
      <c r="BK107" s="35"/>
      <c r="BL107" s="35"/>
      <c r="BM107" s="36"/>
      <c r="BN107" s="36"/>
      <c r="BO107" s="36"/>
      <c r="BP107" s="37"/>
      <c r="BQ107" s="38"/>
    </row>
    <row r="108" spans="1:70" ht="15.6" customHeight="1" x14ac:dyDescent="0.5">
      <c r="C108" s="33"/>
      <c r="D108" s="131"/>
      <c r="E108" s="132"/>
      <c r="F108" s="132"/>
      <c r="G108" s="132"/>
      <c r="H108" s="132"/>
      <c r="I108" s="132"/>
      <c r="J108" s="132"/>
      <c r="K108" s="132"/>
      <c r="L108" s="132"/>
      <c r="M108" s="132"/>
      <c r="N108" s="132"/>
      <c r="O108" s="132"/>
      <c r="P108" s="132"/>
      <c r="Q108" s="133"/>
      <c r="R108" s="94"/>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6"/>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2" t="s">
        <v>18</v>
      </c>
      <c r="E111" s="172"/>
      <c r="F111" s="172"/>
      <c r="G111" s="172"/>
      <c r="H111" s="172"/>
      <c r="I111" s="172"/>
      <c r="J111" s="172"/>
      <c r="K111" s="172"/>
      <c r="L111" s="172"/>
      <c r="M111" s="172"/>
      <c r="N111" s="97" t="str">
        <f>IF([6]回答表!F17="簡易水道事業",IF([6]回答表!X43="○","○",""),"")</f>
        <v/>
      </c>
      <c r="O111" s="98"/>
      <c r="P111" s="98"/>
      <c r="Q111" s="99"/>
      <c r="R111" s="39"/>
      <c r="S111" s="39"/>
      <c r="T111" s="39"/>
      <c r="U111" s="179" t="s">
        <v>46</v>
      </c>
      <c r="V111" s="180"/>
      <c r="W111" s="180"/>
      <c r="X111" s="180"/>
      <c r="Y111" s="180"/>
      <c r="Z111" s="180"/>
      <c r="AA111" s="180"/>
      <c r="AB111" s="180"/>
      <c r="AC111" s="180"/>
      <c r="AD111" s="180"/>
      <c r="AE111" s="180"/>
      <c r="AF111" s="180"/>
      <c r="AG111" s="180"/>
      <c r="AH111" s="180"/>
      <c r="AI111" s="180"/>
      <c r="AJ111" s="189"/>
      <c r="AK111" s="50"/>
      <c r="AL111" s="50"/>
      <c r="AM111" s="106" t="str">
        <f>IF([6]回答表!F17="簡易水道事業",IF([6]回答表!X43="○",[6]回答表!B154,IF([6]回答表!AA43="○",[6]回答表!B201,"")),"")</f>
        <v/>
      </c>
      <c r="AN111" s="107"/>
      <c r="AO111" s="107"/>
      <c r="AP111" s="107"/>
      <c r="AQ111" s="107"/>
      <c r="AR111" s="107"/>
      <c r="AS111" s="107"/>
      <c r="AT111" s="107"/>
      <c r="AU111" s="107"/>
      <c r="AV111" s="107"/>
      <c r="AW111" s="107"/>
      <c r="AX111" s="107"/>
      <c r="AY111" s="107"/>
      <c r="AZ111" s="107"/>
      <c r="BA111" s="107"/>
      <c r="BB111" s="108"/>
      <c r="BC111" s="40"/>
      <c r="BD111" s="35"/>
      <c r="BE111" s="115" t="str">
        <f>IF([6]回答表!F17="簡易水道事業",IF([6]回答表!X43="○",[6]回答表!B190,IF([6]回答表!AA43="○",[6]回答表!B238,"")),"")</f>
        <v/>
      </c>
      <c r="BF111" s="116"/>
      <c r="BG111" s="116"/>
      <c r="BH111" s="116"/>
      <c r="BI111" s="115"/>
      <c r="BJ111" s="116"/>
      <c r="BK111" s="116"/>
      <c r="BL111" s="116"/>
      <c r="BM111" s="115"/>
      <c r="BN111" s="116"/>
      <c r="BO111" s="116"/>
      <c r="BP111" s="117"/>
      <c r="BQ111" s="38"/>
    </row>
    <row r="112" spans="1:70" ht="19.350000000000001" customHeight="1" x14ac:dyDescent="0.4">
      <c r="C112" s="33"/>
      <c r="D112" s="172"/>
      <c r="E112" s="172"/>
      <c r="F112" s="172"/>
      <c r="G112" s="172"/>
      <c r="H112" s="172"/>
      <c r="I112" s="172"/>
      <c r="J112" s="172"/>
      <c r="K112" s="172"/>
      <c r="L112" s="172"/>
      <c r="M112" s="172"/>
      <c r="N112" s="100"/>
      <c r="O112" s="101"/>
      <c r="P112" s="101"/>
      <c r="Q112" s="102"/>
      <c r="R112" s="39"/>
      <c r="S112" s="39"/>
      <c r="T112" s="39"/>
      <c r="U112" s="191"/>
      <c r="V112" s="192"/>
      <c r="W112" s="192"/>
      <c r="X112" s="192"/>
      <c r="Y112" s="192"/>
      <c r="Z112" s="192"/>
      <c r="AA112" s="192"/>
      <c r="AB112" s="192"/>
      <c r="AC112" s="192"/>
      <c r="AD112" s="192"/>
      <c r="AE112" s="192"/>
      <c r="AF112" s="192"/>
      <c r="AG112" s="192"/>
      <c r="AH112" s="192"/>
      <c r="AI112" s="192"/>
      <c r="AJ112" s="193"/>
      <c r="AK112" s="50"/>
      <c r="AL112" s="50"/>
      <c r="AM112" s="109"/>
      <c r="AN112" s="110"/>
      <c r="AO112" s="110"/>
      <c r="AP112" s="110"/>
      <c r="AQ112" s="110"/>
      <c r="AR112" s="110"/>
      <c r="AS112" s="110"/>
      <c r="AT112" s="110"/>
      <c r="AU112" s="110"/>
      <c r="AV112" s="110"/>
      <c r="AW112" s="110"/>
      <c r="AX112" s="110"/>
      <c r="AY112" s="110"/>
      <c r="AZ112" s="110"/>
      <c r="BA112" s="110"/>
      <c r="BB112" s="111"/>
      <c r="BC112" s="40"/>
      <c r="BD112" s="35"/>
      <c r="BE112" s="82"/>
      <c r="BF112" s="83"/>
      <c r="BG112" s="83"/>
      <c r="BH112" s="83"/>
      <c r="BI112" s="82"/>
      <c r="BJ112" s="83"/>
      <c r="BK112" s="83"/>
      <c r="BL112" s="83"/>
      <c r="BM112" s="82"/>
      <c r="BN112" s="83"/>
      <c r="BO112" s="83"/>
      <c r="BP112" s="86"/>
      <c r="BQ112" s="38"/>
    </row>
    <row r="113" spans="3:69" ht="15.6" customHeight="1" x14ac:dyDescent="0.4">
      <c r="C113" s="33"/>
      <c r="D113" s="172"/>
      <c r="E113" s="172"/>
      <c r="F113" s="172"/>
      <c r="G113" s="172"/>
      <c r="H113" s="172"/>
      <c r="I113" s="172"/>
      <c r="J113" s="172"/>
      <c r="K113" s="172"/>
      <c r="L113" s="172"/>
      <c r="M113" s="172"/>
      <c r="N113" s="100"/>
      <c r="O113" s="101"/>
      <c r="P113" s="101"/>
      <c r="Q113" s="102"/>
      <c r="R113" s="39"/>
      <c r="S113" s="39"/>
      <c r="T113" s="39"/>
      <c r="U113" s="118" t="str">
        <f>IF([6]回答表!F17="簡易水道事業",IF([6]回答表!X43="○",[6]回答表!Y181,IF([6]回答表!AA43="○",[6]回答表!Y229,"")),"")</f>
        <v/>
      </c>
      <c r="V113" s="119"/>
      <c r="W113" s="119"/>
      <c r="X113" s="119"/>
      <c r="Y113" s="119"/>
      <c r="Z113" s="119"/>
      <c r="AA113" s="119"/>
      <c r="AB113" s="119"/>
      <c r="AC113" s="119"/>
      <c r="AD113" s="119"/>
      <c r="AE113" s="119"/>
      <c r="AF113" s="119"/>
      <c r="AG113" s="119"/>
      <c r="AH113" s="119"/>
      <c r="AI113" s="119"/>
      <c r="AJ113" s="120"/>
      <c r="AK113" s="50"/>
      <c r="AL113" s="50"/>
      <c r="AM113" s="109"/>
      <c r="AN113" s="110"/>
      <c r="AO113" s="110"/>
      <c r="AP113" s="110"/>
      <c r="AQ113" s="110"/>
      <c r="AR113" s="110"/>
      <c r="AS113" s="110"/>
      <c r="AT113" s="110"/>
      <c r="AU113" s="110"/>
      <c r="AV113" s="110"/>
      <c r="AW113" s="110"/>
      <c r="AX113" s="110"/>
      <c r="AY113" s="110"/>
      <c r="AZ113" s="110"/>
      <c r="BA113" s="110"/>
      <c r="BB113" s="111"/>
      <c r="BC113" s="40"/>
      <c r="BD113" s="35"/>
      <c r="BE113" s="82"/>
      <c r="BF113" s="83"/>
      <c r="BG113" s="83"/>
      <c r="BH113" s="83"/>
      <c r="BI113" s="82"/>
      <c r="BJ113" s="83"/>
      <c r="BK113" s="83"/>
      <c r="BL113" s="83"/>
      <c r="BM113" s="82"/>
      <c r="BN113" s="83"/>
      <c r="BO113" s="83"/>
      <c r="BP113" s="86"/>
      <c r="BQ113" s="38"/>
    </row>
    <row r="114" spans="3:69" ht="15.6" customHeight="1" x14ac:dyDescent="0.4">
      <c r="C114" s="33"/>
      <c r="D114" s="172"/>
      <c r="E114" s="172"/>
      <c r="F114" s="172"/>
      <c r="G114" s="172"/>
      <c r="H114" s="172"/>
      <c r="I114" s="172"/>
      <c r="J114" s="172"/>
      <c r="K114" s="172"/>
      <c r="L114" s="172"/>
      <c r="M114" s="172"/>
      <c r="N114" s="103"/>
      <c r="O114" s="104"/>
      <c r="P114" s="104"/>
      <c r="Q114" s="105"/>
      <c r="R114" s="39"/>
      <c r="S114" s="39"/>
      <c r="T114" s="39"/>
      <c r="U114" s="121"/>
      <c r="V114" s="122"/>
      <c r="W114" s="122"/>
      <c r="X114" s="122"/>
      <c r="Y114" s="122"/>
      <c r="Z114" s="122"/>
      <c r="AA114" s="122"/>
      <c r="AB114" s="122"/>
      <c r="AC114" s="122"/>
      <c r="AD114" s="122"/>
      <c r="AE114" s="122"/>
      <c r="AF114" s="122"/>
      <c r="AG114" s="122"/>
      <c r="AH114" s="122"/>
      <c r="AI114" s="122"/>
      <c r="AJ114" s="123"/>
      <c r="AK114" s="50"/>
      <c r="AL114" s="50"/>
      <c r="AM114" s="109"/>
      <c r="AN114" s="110"/>
      <c r="AO114" s="110"/>
      <c r="AP114" s="110"/>
      <c r="AQ114" s="110"/>
      <c r="AR114" s="110"/>
      <c r="AS114" s="110"/>
      <c r="AT114" s="110"/>
      <c r="AU114" s="110"/>
      <c r="AV114" s="110"/>
      <c r="AW114" s="110"/>
      <c r="AX114" s="110"/>
      <c r="AY114" s="110"/>
      <c r="AZ114" s="110"/>
      <c r="BA114" s="110"/>
      <c r="BB114" s="111"/>
      <c r="BC114" s="40"/>
      <c r="BD114" s="35"/>
      <c r="BE114" s="82" t="str">
        <f>IF([6]回答表!F17="簡易水道事業",IF([6]回答表!X43="○",[6]回答表!E190,IF([6]回答表!AA43="○",[6]回答表!E238,"")),"")</f>
        <v/>
      </c>
      <c r="BF114" s="83"/>
      <c r="BG114" s="83"/>
      <c r="BH114" s="83"/>
      <c r="BI114" s="82" t="str">
        <f>IF([6]回答表!F17="簡易水道事業",IF([6]回答表!X43="○",[6]回答表!E191,IF([6]回答表!AA43="○",[6]回答表!E239,"")),"")</f>
        <v/>
      </c>
      <c r="BJ114" s="83"/>
      <c r="BK114" s="83"/>
      <c r="BL114" s="83"/>
      <c r="BM114" s="82" t="str">
        <f>IF([6]回答表!F17="簡易水道事業",IF([6]回答表!X43="○",[6]回答表!E192,IF([6]回答表!AA43="○",[6]回答表!E240,"")),"")</f>
        <v/>
      </c>
      <c r="BN114" s="83"/>
      <c r="BO114" s="83"/>
      <c r="BP114" s="86"/>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4"/>
      <c r="V115" s="125"/>
      <c r="W115" s="125"/>
      <c r="X115" s="125"/>
      <c r="Y115" s="125"/>
      <c r="Z115" s="125"/>
      <c r="AA115" s="125"/>
      <c r="AB115" s="125"/>
      <c r="AC115" s="125"/>
      <c r="AD115" s="125"/>
      <c r="AE115" s="125"/>
      <c r="AF115" s="125"/>
      <c r="AG115" s="125"/>
      <c r="AH115" s="125"/>
      <c r="AI115" s="125"/>
      <c r="AJ115" s="126"/>
      <c r="AK115" s="50"/>
      <c r="AL115" s="50"/>
      <c r="AM115" s="109"/>
      <c r="AN115" s="110"/>
      <c r="AO115" s="110"/>
      <c r="AP115" s="110"/>
      <c r="AQ115" s="110"/>
      <c r="AR115" s="110"/>
      <c r="AS115" s="110"/>
      <c r="AT115" s="110"/>
      <c r="AU115" s="110"/>
      <c r="AV115" s="110"/>
      <c r="AW115" s="110"/>
      <c r="AX115" s="110"/>
      <c r="AY115" s="110"/>
      <c r="AZ115" s="110"/>
      <c r="BA115" s="110"/>
      <c r="BB115" s="111"/>
      <c r="BC115" s="40"/>
      <c r="BD115" s="40"/>
      <c r="BE115" s="82"/>
      <c r="BF115" s="83"/>
      <c r="BG115" s="83"/>
      <c r="BH115" s="83"/>
      <c r="BI115" s="82"/>
      <c r="BJ115" s="83"/>
      <c r="BK115" s="83"/>
      <c r="BL115" s="83"/>
      <c r="BM115" s="82"/>
      <c r="BN115" s="83"/>
      <c r="BO115" s="83"/>
      <c r="BP115" s="86"/>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79" t="s">
        <v>47</v>
      </c>
      <c r="V116" s="180"/>
      <c r="W116" s="180"/>
      <c r="X116" s="180"/>
      <c r="Y116" s="180"/>
      <c r="Z116" s="180"/>
      <c r="AA116" s="180"/>
      <c r="AB116" s="180"/>
      <c r="AC116" s="180"/>
      <c r="AD116" s="180"/>
      <c r="AE116" s="180"/>
      <c r="AF116" s="180"/>
      <c r="AG116" s="180"/>
      <c r="AH116" s="180"/>
      <c r="AI116" s="180"/>
      <c r="AJ116" s="189"/>
      <c r="AK116" s="50"/>
      <c r="AL116" s="50"/>
      <c r="AM116" s="109"/>
      <c r="AN116" s="110"/>
      <c r="AO116" s="110"/>
      <c r="AP116" s="110"/>
      <c r="AQ116" s="110"/>
      <c r="AR116" s="110"/>
      <c r="AS116" s="110"/>
      <c r="AT116" s="110"/>
      <c r="AU116" s="110"/>
      <c r="AV116" s="110"/>
      <c r="AW116" s="110"/>
      <c r="AX116" s="110"/>
      <c r="AY116" s="110"/>
      <c r="AZ116" s="110"/>
      <c r="BA116" s="110"/>
      <c r="BB116" s="111"/>
      <c r="BC116" s="40"/>
      <c r="BD116" s="35"/>
      <c r="BE116" s="82"/>
      <c r="BF116" s="83"/>
      <c r="BG116" s="83"/>
      <c r="BH116" s="83"/>
      <c r="BI116" s="82"/>
      <c r="BJ116" s="83"/>
      <c r="BK116" s="83"/>
      <c r="BL116" s="83"/>
      <c r="BM116" s="82"/>
      <c r="BN116" s="83"/>
      <c r="BO116" s="83"/>
      <c r="BP116" s="86"/>
      <c r="BQ116" s="38"/>
    </row>
    <row r="117" spans="3:69" ht="19.350000000000001" customHeight="1" x14ac:dyDescent="0.4">
      <c r="C117" s="33"/>
      <c r="D117" s="177" t="s">
        <v>26</v>
      </c>
      <c r="E117" s="172"/>
      <c r="F117" s="172"/>
      <c r="G117" s="172"/>
      <c r="H117" s="172"/>
      <c r="I117" s="172"/>
      <c r="J117" s="172"/>
      <c r="K117" s="172"/>
      <c r="L117" s="172"/>
      <c r="M117" s="173"/>
      <c r="N117" s="97" t="str">
        <f>IF([6]回答表!F17="簡易水道事業",IF([6]回答表!AA43="○","○",""),"")</f>
        <v/>
      </c>
      <c r="O117" s="98"/>
      <c r="P117" s="98"/>
      <c r="Q117" s="99"/>
      <c r="R117" s="39"/>
      <c r="S117" s="39"/>
      <c r="T117" s="39"/>
      <c r="U117" s="191"/>
      <c r="V117" s="192"/>
      <c r="W117" s="192"/>
      <c r="X117" s="192"/>
      <c r="Y117" s="192"/>
      <c r="Z117" s="192"/>
      <c r="AA117" s="192"/>
      <c r="AB117" s="192"/>
      <c r="AC117" s="192"/>
      <c r="AD117" s="192"/>
      <c r="AE117" s="192"/>
      <c r="AF117" s="192"/>
      <c r="AG117" s="192"/>
      <c r="AH117" s="192"/>
      <c r="AI117" s="192"/>
      <c r="AJ117" s="193"/>
      <c r="AK117" s="50"/>
      <c r="AL117" s="50"/>
      <c r="AM117" s="109"/>
      <c r="AN117" s="110"/>
      <c r="AO117" s="110"/>
      <c r="AP117" s="110"/>
      <c r="AQ117" s="110"/>
      <c r="AR117" s="110"/>
      <c r="AS117" s="110"/>
      <c r="AT117" s="110"/>
      <c r="AU117" s="110"/>
      <c r="AV117" s="110"/>
      <c r="AW117" s="110"/>
      <c r="AX117" s="110"/>
      <c r="AY117" s="110"/>
      <c r="AZ117" s="110"/>
      <c r="BA117" s="110"/>
      <c r="BB117" s="111"/>
      <c r="BC117" s="40"/>
      <c r="BD117" s="54"/>
      <c r="BE117" s="82"/>
      <c r="BF117" s="83"/>
      <c r="BG117" s="83"/>
      <c r="BH117" s="83"/>
      <c r="BI117" s="82"/>
      <c r="BJ117" s="83"/>
      <c r="BK117" s="83"/>
      <c r="BL117" s="83"/>
      <c r="BM117" s="82"/>
      <c r="BN117" s="83"/>
      <c r="BO117" s="83"/>
      <c r="BP117" s="86"/>
      <c r="BQ117" s="38"/>
    </row>
    <row r="118" spans="3:69" ht="15.6" customHeight="1" x14ac:dyDescent="0.4">
      <c r="C118" s="33"/>
      <c r="D118" s="172"/>
      <c r="E118" s="172"/>
      <c r="F118" s="172"/>
      <c r="G118" s="172"/>
      <c r="H118" s="172"/>
      <c r="I118" s="172"/>
      <c r="J118" s="172"/>
      <c r="K118" s="172"/>
      <c r="L118" s="172"/>
      <c r="M118" s="173"/>
      <c r="N118" s="100"/>
      <c r="O118" s="101"/>
      <c r="P118" s="101"/>
      <c r="Q118" s="102"/>
      <c r="R118" s="39"/>
      <c r="S118" s="39"/>
      <c r="T118" s="39"/>
      <c r="U118" s="118" t="str">
        <f>IF([6]回答表!F17="簡易水道事業",IF([6]回答表!X43="○",[6]回答表!Y182,IF([6]回答表!AA43="○",[6]回答表!Y230,"")),"")</f>
        <v/>
      </c>
      <c r="V118" s="119"/>
      <c r="W118" s="119"/>
      <c r="X118" s="119"/>
      <c r="Y118" s="119"/>
      <c r="Z118" s="119"/>
      <c r="AA118" s="119"/>
      <c r="AB118" s="119"/>
      <c r="AC118" s="119"/>
      <c r="AD118" s="119"/>
      <c r="AE118" s="119"/>
      <c r="AF118" s="119"/>
      <c r="AG118" s="119"/>
      <c r="AH118" s="119"/>
      <c r="AI118" s="119"/>
      <c r="AJ118" s="120"/>
      <c r="AK118" s="50"/>
      <c r="AL118" s="50"/>
      <c r="AM118" s="109"/>
      <c r="AN118" s="110"/>
      <c r="AO118" s="110"/>
      <c r="AP118" s="110"/>
      <c r="AQ118" s="110"/>
      <c r="AR118" s="110"/>
      <c r="AS118" s="110"/>
      <c r="AT118" s="110"/>
      <c r="AU118" s="110"/>
      <c r="AV118" s="110"/>
      <c r="AW118" s="110"/>
      <c r="AX118" s="110"/>
      <c r="AY118" s="110"/>
      <c r="AZ118" s="110"/>
      <c r="BA118" s="110"/>
      <c r="BB118" s="111"/>
      <c r="BC118" s="40"/>
      <c r="BD118" s="54"/>
      <c r="BE118" s="82" t="s">
        <v>23</v>
      </c>
      <c r="BF118" s="83"/>
      <c r="BG118" s="83"/>
      <c r="BH118" s="83"/>
      <c r="BI118" s="82" t="s">
        <v>24</v>
      </c>
      <c r="BJ118" s="83"/>
      <c r="BK118" s="83"/>
      <c r="BL118" s="83"/>
      <c r="BM118" s="82" t="s">
        <v>25</v>
      </c>
      <c r="BN118" s="83"/>
      <c r="BO118" s="83"/>
      <c r="BP118" s="86"/>
      <c r="BQ118" s="38"/>
    </row>
    <row r="119" spans="3:69" ht="15.6" customHeight="1" x14ac:dyDescent="0.4">
      <c r="C119" s="33"/>
      <c r="D119" s="172"/>
      <c r="E119" s="172"/>
      <c r="F119" s="172"/>
      <c r="G119" s="172"/>
      <c r="H119" s="172"/>
      <c r="I119" s="172"/>
      <c r="J119" s="172"/>
      <c r="K119" s="172"/>
      <c r="L119" s="172"/>
      <c r="M119" s="173"/>
      <c r="N119" s="100"/>
      <c r="O119" s="101"/>
      <c r="P119" s="101"/>
      <c r="Q119" s="102"/>
      <c r="R119" s="39"/>
      <c r="S119" s="39"/>
      <c r="T119" s="39"/>
      <c r="U119" s="121"/>
      <c r="V119" s="122"/>
      <c r="W119" s="122"/>
      <c r="X119" s="122"/>
      <c r="Y119" s="122"/>
      <c r="Z119" s="122"/>
      <c r="AA119" s="122"/>
      <c r="AB119" s="122"/>
      <c r="AC119" s="122"/>
      <c r="AD119" s="122"/>
      <c r="AE119" s="122"/>
      <c r="AF119" s="122"/>
      <c r="AG119" s="122"/>
      <c r="AH119" s="122"/>
      <c r="AI119" s="122"/>
      <c r="AJ119" s="123"/>
      <c r="AK119" s="50"/>
      <c r="AL119" s="50"/>
      <c r="AM119" s="109"/>
      <c r="AN119" s="110"/>
      <c r="AO119" s="110"/>
      <c r="AP119" s="110"/>
      <c r="AQ119" s="110"/>
      <c r="AR119" s="110"/>
      <c r="AS119" s="110"/>
      <c r="AT119" s="110"/>
      <c r="AU119" s="110"/>
      <c r="AV119" s="110"/>
      <c r="AW119" s="110"/>
      <c r="AX119" s="110"/>
      <c r="AY119" s="110"/>
      <c r="AZ119" s="110"/>
      <c r="BA119" s="110"/>
      <c r="BB119" s="111"/>
      <c r="BC119" s="40"/>
      <c r="BD119" s="54"/>
      <c r="BE119" s="82"/>
      <c r="BF119" s="83"/>
      <c r="BG119" s="83"/>
      <c r="BH119" s="83"/>
      <c r="BI119" s="82"/>
      <c r="BJ119" s="83"/>
      <c r="BK119" s="83"/>
      <c r="BL119" s="83"/>
      <c r="BM119" s="82"/>
      <c r="BN119" s="83"/>
      <c r="BO119" s="83"/>
      <c r="BP119" s="86"/>
      <c r="BQ119" s="38"/>
    </row>
    <row r="120" spans="3:69" ht="15.6" customHeight="1" x14ac:dyDescent="0.4">
      <c r="C120" s="33"/>
      <c r="D120" s="172"/>
      <c r="E120" s="172"/>
      <c r="F120" s="172"/>
      <c r="G120" s="172"/>
      <c r="H120" s="172"/>
      <c r="I120" s="172"/>
      <c r="J120" s="172"/>
      <c r="K120" s="172"/>
      <c r="L120" s="172"/>
      <c r="M120" s="173"/>
      <c r="N120" s="103"/>
      <c r="O120" s="104"/>
      <c r="P120" s="104"/>
      <c r="Q120" s="105"/>
      <c r="R120" s="39"/>
      <c r="S120" s="39"/>
      <c r="T120" s="39"/>
      <c r="U120" s="124"/>
      <c r="V120" s="125"/>
      <c r="W120" s="125"/>
      <c r="X120" s="125"/>
      <c r="Y120" s="125"/>
      <c r="Z120" s="125"/>
      <c r="AA120" s="125"/>
      <c r="AB120" s="125"/>
      <c r="AC120" s="125"/>
      <c r="AD120" s="125"/>
      <c r="AE120" s="125"/>
      <c r="AF120" s="125"/>
      <c r="AG120" s="125"/>
      <c r="AH120" s="125"/>
      <c r="AI120" s="125"/>
      <c r="AJ120" s="126"/>
      <c r="AK120" s="50"/>
      <c r="AL120" s="50"/>
      <c r="AM120" s="112"/>
      <c r="AN120" s="113"/>
      <c r="AO120" s="113"/>
      <c r="AP120" s="113"/>
      <c r="AQ120" s="113"/>
      <c r="AR120" s="113"/>
      <c r="AS120" s="113"/>
      <c r="AT120" s="113"/>
      <c r="AU120" s="113"/>
      <c r="AV120" s="113"/>
      <c r="AW120" s="113"/>
      <c r="AX120" s="113"/>
      <c r="AY120" s="113"/>
      <c r="AZ120" s="113"/>
      <c r="BA120" s="113"/>
      <c r="BB120" s="114"/>
      <c r="BC120" s="40"/>
      <c r="BD120" s="54"/>
      <c r="BE120" s="84"/>
      <c r="BF120" s="85"/>
      <c r="BG120" s="85"/>
      <c r="BH120" s="85"/>
      <c r="BI120" s="84"/>
      <c r="BJ120" s="85"/>
      <c r="BK120" s="85"/>
      <c r="BL120" s="85"/>
      <c r="BM120" s="84"/>
      <c r="BN120" s="85"/>
      <c r="BO120" s="85"/>
      <c r="BP120" s="87"/>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2" t="s">
        <v>34</v>
      </c>
      <c r="E123" s="172"/>
      <c r="F123" s="172"/>
      <c r="G123" s="172"/>
      <c r="H123" s="172"/>
      <c r="I123" s="172"/>
      <c r="J123" s="172"/>
      <c r="K123" s="172"/>
      <c r="L123" s="172"/>
      <c r="M123" s="173"/>
      <c r="N123" s="97" t="str">
        <f>IF([6]回答表!F17="簡易水道事業",IF([6]回答表!AD43="○","○",""),"")</f>
        <v/>
      </c>
      <c r="O123" s="98"/>
      <c r="P123" s="98"/>
      <c r="Q123" s="99"/>
      <c r="R123" s="39"/>
      <c r="S123" s="39"/>
      <c r="T123" s="39"/>
      <c r="U123" s="106" t="str">
        <f>IF([6]回答表!F17="簡易水道事業",IF([6]回答表!AD43="○",[6]回答表!B249,""),"")</f>
        <v/>
      </c>
      <c r="V123" s="107"/>
      <c r="W123" s="107"/>
      <c r="X123" s="107"/>
      <c r="Y123" s="107"/>
      <c r="Z123" s="107"/>
      <c r="AA123" s="107"/>
      <c r="AB123" s="107"/>
      <c r="AC123" s="107"/>
      <c r="AD123" s="107"/>
      <c r="AE123" s="107"/>
      <c r="AF123" s="107"/>
      <c r="AG123" s="107"/>
      <c r="AH123" s="107"/>
      <c r="AI123" s="107"/>
      <c r="AJ123" s="108"/>
      <c r="AK123" s="56"/>
      <c r="AL123" s="56"/>
      <c r="AM123" s="106" t="str">
        <f>IF([6]回答表!F17="簡易水道事業",IF([6]回答表!AD43="○",[6]回答表!B255,""),"")</f>
        <v/>
      </c>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8"/>
      <c r="BQ123" s="38"/>
    </row>
    <row r="124" spans="3:69" ht="15.6" customHeight="1" x14ac:dyDescent="0.4">
      <c r="C124" s="33"/>
      <c r="D124" s="172"/>
      <c r="E124" s="172"/>
      <c r="F124" s="172"/>
      <c r="G124" s="172"/>
      <c r="H124" s="172"/>
      <c r="I124" s="172"/>
      <c r="J124" s="172"/>
      <c r="K124" s="172"/>
      <c r="L124" s="172"/>
      <c r="M124" s="173"/>
      <c r="N124" s="100"/>
      <c r="O124" s="101"/>
      <c r="P124" s="101"/>
      <c r="Q124" s="102"/>
      <c r="R124" s="39"/>
      <c r="S124" s="39"/>
      <c r="T124" s="39"/>
      <c r="U124" s="109"/>
      <c r="V124" s="110"/>
      <c r="W124" s="110"/>
      <c r="X124" s="110"/>
      <c r="Y124" s="110"/>
      <c r="Z124" s="110"/>
      <c r="AA124" s="110"/>
      <c r="AB124" s="110"/>
      <c r="AC124" s="110"/>
      <c r="AD124" s="110"/>
      <c r="AE124" s="110"/>
      <c r="AF124" s="110"/>
      <c r="AG124" s="110"/>
      <c r="AH124" s="110"/>
      <c r="AI124" s="110"/>
      <c r="AJ124" s="111"/>
      <c r="AK124" s="56"/>
      <c r="AL124" s="56"/>
      <c r="AM124" s="109"/>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1"/>
      <c r="BQ124" s="38"/>
    </row>
    <row r="125" spans="3:69" ht="15.6" customHeight="1" x14ac:dyDescent="0.4">
      <c r="C125" s="33"/>
      <c r="D125" s="172"/>
      <c r="E125" s="172"/>
      <c r="F125" s="172"/>
      <c r="G125" s="172"/>
      <c r="H125" s="172"/>
      <c r="I125" s="172"/>
      <c r="J125" s="172"/>
      <c r="K125" s="172"/>
      <c r="L125" s="172"/>
      <c r="M125" s="173"/>
      <c r="N125" s="100"/>
      <c r="O125" s="101"/>
      <c r="P125" s="101"/>
      <c r="Q125" s="102"/>
      <c r="R125" s="39"/>
      <c r="S125" s="39"/>
      <c r="T125" s="39"/>
      <c r="U125" s="109"/>
      <c r="V125" s="110"/>
      <c r="W125" s="110"/>
      <c r="X125" s="110"/>
      <c r="Y125" s="110"/>
      <c r="Z125" s="110"/>
      <c r="AA125" s="110"/>
      <c r="AB125" s="110"/>
      <c r="AC125" s="110"/>
      <c r="AD125" s="110"/>
      <c r="AE125" s="110"/>
      <c r="AF125" s="110"/>
      <c r="AG125" s="110"/>
      <c r="AH125" s="110"/>
      <c r="AI125" s="110"/>
      <c r="AJ125" s="111"/>
      <c r="AK125" s="56"/>
      <c r="AL125" s="56"/>
      <c r="AM125" s="109"/>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1"/>
      <c r="BQ125" s="38"/>
    </row>
    <row r="126" spans="3:69" ht="15.6" customHeight="1" x14ac:dyDescent="0.4">
      <c r="C126" s="33"/>
      <c r="D126" s="172"/>
      <c r="E126" s="172"/>
      <c r="F126" s="172"/>
      <c r="G126" s="172"/>
      <c r="H126" s="172"/>
      <c r="I126" s="172"/>
      <c r="J126" s="172"/>
      <c r="K126" s="172"/>
      <c r="L126" s="172"/>
      <c r="M126" s="173"/>
      <c r="N126" s="103"/>
      <c r="O126" s="104"/>
      <c r="P126" s="104"/>
      <c r="Q126" s="105"/>
      <c r="R126" s="39"/>
      <c r="S126" s="39"/>
      <c r="T126" s="39"/>
      <c r="U126" s="112"/>
      <c r="V126" s="113"/>
      <c r="W126" s="113"/>
      <c r="X126" s="113"/>
      <c r="Y126" s="113"/>
      <c r="Z126" s="113"/>
      <c r="AA126" s="113"/>
      <c r="AB126" s="113"/>
      <c r="AC126" s="113"/>
      <c r="AD126" s="113"/>
      <c r="AE126" s="113"/>
      <c r="AF126" s="113"/>
      <c r="AG126" s="113"/>
      <c r="AH126" s="113"/>
      <c r="AI126" s="113"/>
      <c r="AJ126" s="114"/>
      <c r="AK126" s="56"/>
      <c r="AL126" s="56"/>
      <c r="AM126" s="112"/>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4"/>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3"/>
      <c r="AS129" s="153"/>
      <c r="AT129" s="153"/>
      <c r="AU129" s="153"/>
      <c r="AV129" s="153"/>
      <c r="AW129" s="153"/>
      <c r="AX129" s="153"/>
      <c r="AY129" s="153"/>
      <c r="AZ129" s="153"/>
      <c r="BA129" s="153"/>
      <c r="BB129" s="153"/>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78"/>
      <c r="AS130" s="178"/>
      <c r="AT130" s="178"/>
      <c r="AU130" s="178"/>
      <c r="AV130" s="178"/>
      <c r="AW130" s="178"/>
      <c r="AX130" s="178"/>
      <c r="AY130" s="178"/>
      <c r="AZ130" s="178"/>
      <c r="BA130" s="178"/>
      <c r="BB130" s="178"/>
      <c r="BC130" s="34"/>
      <c r="BD130" s="35"/>
      <c r="BE130" s="35"/>
      <c r="BF130" s="35"/>
      <c r="BG130" s="35"/>
      <c r="BH130" s="35"/>
      <c r="BI130" s="35"/>
      <c r="BJ130" s="35"/>
      <c r="BK130" s="35"/>
      <c r="BL130" s="35"/>
      <c r="BM130" s="36"/>
      <c r="BN130" s="36"/>
      <c r="BO130" s="36"/>
      <c r="BP130" s="37"/>
      <c r="BQ130" s="38"/>
    </row>
    <row r="131" spans="3:69" ht="15.6" customHeight="1" x14ac:dyDescent="0.5">
      <c r="C131" s="33"/>
      <c r="D131" s="128" t="s">
        <v>14</v>
      </c>
      <c r="E131" s="129"/>
      <c r="F131" s="129"/>
      <c r="G131" s="129"/>
      <c r="H131" s="129"/>
      <c r="I131" s="129"/>
      <c r="J131" s="129"/>
      <c r="K131" s="129"/>
      <c r="L131" s="129"/>
      <c r="M131" s="129"/>
      <c r="N131" s="129"/>
      <c r="O131" s="129"/>
      <c r="P131" s="129"/>
      <c r="Q131" s="130"/>
      <c r="R131" s="88" t="s">
        <v>48</v>
      </c>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90"/>
      <c r="BC131" s="34"/>
      <c r="BD131" s="35"/>
      <c r="BE131" s="35"/>
      <c r="BF131" s="35"/>
      <c r="BG131" s="35"/>
      <c r="BH131" s="35"/>
      <c r="BI131" s="35"/>
      <c r="BJ131" s="35"/>
      <c r="BK131" s="35"/>
      <c r="BL131" s="35"/>
      <c r="BM131" s="36"/>
      <c r="BN131" s="36"/>
      <c r="BO131" s="36"/>
      <c r="BP131" s="37"/>
      <c r="BQ131" s="38"/>
    </row>
    <row r="132" spans="3:69" ht="15.6" customHeight="1" x14ac:dyDescent="0.5">
      <c r="C132" s="33"/>
      <c r="D132" s="131"/>
      <c r="E132" s="132"/>
      <c r="F132" s="132"/>
      <c r="G132" s="132"/>
      <c r="H132" s="132"/>
      <c r="I132" s="132"/>
      <c r="J132" s="132"/>
      <c r="K132" s="132"/>
      <c r="L132" s="132"/>
      <c r="M132" s="132"/>
      <c r="N132" s="132"/>
      <c r="O132" s="132"/>
      <c r="P132" s="132"/>
      <c r="Q132" s="133"/>
      <c r="R132" s="94"/>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6"/>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2" t="s">
        <v>18</v>
      </c>
      <c r="E135" s="172"/>
      <c r="F135" s="172"/>
      <c r="G135" s="172"/>
      <c r="H135" s="172"/>
      <c r="I135" s="172"/>
      <c r="J135" s="172"/>
      <c r="K135" s="172"/>
      <c r="L135" s="172"/>
      <c r="M135" s="172"/>
      <c r="N135" s="97" t="str">
        <f>IF([6]回答表!F17="下水道事業",IF([6]回答表!X43="○","○",""),"")</f>
        <v/>
      </c>
      <c r="O135" s="98"/>
      <c r="P135" s="98"/>
      <c r="Q135" s="99"/>
      <c r="R135" s="39"/>
      <c r="S135" s="39"/>
      <c r="T135" s="39"/>
      <c r="U135" s="179" t="s">
        <v>49</v>
      </c>
      <c r="V135" s="180"/>
      <c r="W135" s="180"/>
      <c r="X135" s="180"/>
      <c r="Y135" s="180"/>
      <c r="Z135" s="180"/>
      <c r="AA135" s="180"/>
      <c r="AB135" s="180"/>
      <c r="AC135" s="179" t="s">
        <v>50</v>
      </c>
      <c r="AD135" s="180"/>
      <c r="AE135" s="180"/>
      <c r="AF135" s="180"/>
      <c r="AG135" s="180"/>
      <c r="AH135" s="180"/>
      <c r="AI135" s="180"/>
      <c r="AJ135" s="189"/>
      <c r="AK135" s="50"/>
      <c r="AL135" s="50"/>
      <c r="AM135" s="106" t="str">
        <f>IF([6]回答表!F17="下水道事業",IF([6]回答表!X43="○",[6]回答表!B154,IF([6]回答表!AA43="○",[6]回答表!B201,"")),"")</f>
        <v/>
      </c>
      <c r="AN135" s="107"/>
      <c r="AO135" s="107"/>
      <c r="AP135" s="107"/>
      <c r="AQ135" s="107"/>
      <c r="AR135" s="107"/>
      <c r="AS135" s="107"/>
      <c r="AT135" s="107"/>
      <c r="AU135" s="107"/>
      <c r="AV135" s="107"/>
      <c r="AW135" s="107"/>
      <c r="AX135" s="107"/>
      <c r="AY135" s="107"/>
      <c r="AZ135" s="107"/>
      <c r="BA135" s="107"/>
      <c r="BB135" s="108"/>
      <c r="BC135" s="40"/>
      <c r="BD135" s="35"/>
      <c r="BE135" s="115" t="str">
        <f>IF([6]回答表!F17="下水道事業",IF([6]回答表!X43="○",[6]回答表!B190,IF([6]回答表!AA43="○",[6]回答表!B238,"")),"")</f>
        <v/>
      </c>
      <c r="BF135" s="116"/>
      <c r="BG135" s="116"/>
      <c r="BH135" s="116"/>
      <c r="BI135" s="115"/>
      <c r="BJ135" s="116"/>
      <c r="BK135" s="116"/>
      <c r="BL135" s="116"/>
      <c r="BM135" s="115"/>
      <c r="BN135" s="116"/>
      <c r="BO135" s="116"/>
      <c r="BP135" s="117"/>
      <c r="BQ135" s="38"/>
    </row>
    <row r="136" spans="3:69" ht="19.350000000000001" customHeight="1" x14ac:dyDescent="0.4">
      <c r="C136" s="33"/>
      <c r="D136" s="172"/>
      <c r="E136" s="172"/>
      <c r="F136" s="172"/>
      <c r="G136" s="172"/>
      <c r="H136" s="172"/>
      <c r="I136" s="172"/>
      <c r="J136" s="172"/>
      <c r="K136" s="172"/>
      <c r="L136" s="172"/>
      <c r="M136" s="172"/>
      <c r="N136" s="100"/>
      <c r="O136" s="101"/>
      <c r="P136" s="101"/>
      <c r="Q136" s="102"/>
      <c r="R136" s="39"/>
      <c r="S136" s="39"/>
      <c r="T136" s="39"/>
      <c r="U136" s="181"/>
      <c r="V136" s="182"/>
      <c r="W136" s="182"/>
      <c r="X136" s="182"/>
      <c r="Y136" s="182"/>
      <c r="Z136" s="182"/>
      <c r="AA136" s="182"/>
      <c r="AB136" s="182"/>
      <c r="AC136" s="181"/>
      <c r="AD136" s="182"/>
      <c r="AE136" s="182"/>
      <c r="AF136" s="182"/>
      <c r="AG136" s="182"/>
      <c r="AH136" s="182"/>
      <c r="AI136" s="182"/>
      <c r="AJ136" s="190"/>
      <c r="AK136" s="50"/>
      <c r="AL136" s="50"/>
      <c r="AM136" s="109"/>
      <c r="AN136" s="110"/>
      <c r="AO136" s="110"/>
      <c r="AP136" s="110"/>
      <c r="AQ136" s="110"/>
      <c r="AR136" s="110"/>
      <c r="AS136" s="110"/>
      <c r="AT136" s="110"/>
      <c r="AU136" s="110"/>
      <c r="AV136" s="110"/>
      <c r="AW136" s="110"/>
      <c r="AX136" s="110"/>
      <c r="AY136" s="110"/>
      <c r="AZ136" s="110"/>
      <c r="BA136" s="110"/>
      <c r="BB136" s="111"/>
      <c r="BC136" s="40"/>
      <c r="BD136" s="35"/>
      <c r="BE136" s="82"/>
      <c r="BF136" s="83"/>
      <c r="BG136" s="83"/>
      <c r="BH136" s="83"/>
      <c r="BI136" s="82"/>
      <c r="BJ136" s="83"/>
      <c r="BK136" s="83"/>
      <c r="BL136" s="83"/>
      <c r="BM136" s="82"/>
      <c r="BN136" s="83"/>
      <c r="BO136" s="83"/>
      <c r="BP136" s="86"/>
      <c r="BQ136" s="38"/>
    </row>
    <row r="137" spans="3:69" ht="15.6" customHeight="1" x14ac:dyDescent="0.4">
      <c r="C137" s="33"/>
      <c r="D137" s="172"/>
      <c r="E137" s="172"/>
      <c r="F137" s="172"/>
      <c r="G137" s="172"/>
      <c r="H137" s="172"/>
      <c r="I137" s="172"/>
      <c r="J137" s="172"/>
      <c r="K137" s="172"/>
      <c r="L137" s="172"/>
      <c r="M137" s="172"/>
      <c r="N137" s="100"/>
      <c r="O137" s="101"/>
      <c r="P137" s="101"/>
      <c r="Q137" s="102"/>
      <c r="R137" s="39"/>
      <c r="S137" s="39"/>
      <c r="T137" s="39"/>
      <c r="U137" s="118" t="str">
        <f>IF([6]回答表!F17="下水道事業",IF([6]回答表!X43="○",[6]回答表!Y184,IF([6]回答表!AA43="○",[6]回答表!Y232,"")),"")</f>
        <v/>
      </c>
      <c r="V137" s="119"/>
      <c r="W137" s="119"/>
      <c r="X137" s="119"/>
      <c r="Y137" s="119"/>
      <c r="Z137" s="119"/>
      <c r="AA137" s="119"/>
      <c r="AB137" s="120"/>
      <c r="AC137" s="118" t="str">
        <f>IF([6]回答表!F17="下水道事業",IF([6]回答表!X43="○",[6]回答表!Y185,IF([6]回答表!AA43="○",[6]回答表!Y233,"")),"")</f>
        <v/>
      </c>
      <c r="AD137" s="119"/>
      <c r="AE137" s="119"/>
      <c r="AF137" s="119"/>
      <c r="AG137" s="119"/>
      <c r="AH137" s="119"/>
      <c r="AI137" s="119"/>
      <c r="AJ137" s="120"/>
      <c r="AK137" s="50"/>
      <c r="AL137" s="50"/>
      <c r="AM137" s="109"/>
      <c r="AN137" s="110"/>
      <c r="AO137" s="110"/>
      <c r="AP137" s="110"/>
      <c r="AQ137" s="110"/>
      <c r="AR137" s="110"/>
      <c r="AS137" s="110"/>
      <c r="AT137" s="110"/>
      <c r="AU137" s="110"/>
      <c r="AV137" s="110"/>
      <c r="AW137" s="110"/>
      <c r="AX137" s="110"/>
      <c r="AY137" s="110"/>
      <c r="AZ137" s="110"/>
      <c r="BA137" s="110"/>
      <c r="BB137" s="111"/>
      <c r="BC137" s="40"/>
      <c r="BD137" s="35"/>
      <c r="BE137" s="82"/>
      <c r="BF137" s="83"/>
      <c r="BG137" s="83"/>
      <c r="BH137" s="83"/>
      <c r="BI137" s="82"/>
      <c r="BJ137" s="83"/>
      <c r="BK137" s="83"/>
      <c r="BL137" s="83"/>
      <c r="BM137" s="82"/>
      <c r="BN137" s="83"/>
      <c r="BO137" s="83"/>
      <c r="BP137" s="86"/>
      <c r="BQ137" s="38"/>
    </row>
    <row r="138" spans="3:69" ht="15.6" customHeight="1" x14ac:dyDescent="0.4">
      <c r="C138" s="33"/>
      <c r="D138" s="172"/>
      <c r="E138" s="172"/>
      <c r="F138" s="172"/>
      <c r="G138" s="172"/>
      <c r="H138" s="172"/>
      <c r="I138" s="172"/>
      <c r="J138" s="172"/>
      <c r="K138" s="172"/>
      <c r="L138" s="172"/>
      <c r="M138" s="172"/>
      <c r="N138" s="103"/>
      <c r="O138" s="104"/>
      <c r="P138" s="104"/>
      <c r="Q138" s="105"/>
      <c r="R138" s="39"/>
      <c r="S138" s="39"/>
      <c r="T138" s="39"/>
      <c r="U138" s="121"/>
      <c r="V138" s="122"/>
      <c r="W138" s="122"/>
      <c r="X138" s="122"/>
      <c r="Y138" s="122"/>
      <c r="Z138" s="122"/>
      <c r="AA138" s="122"/>
      <c r="AB138" s="123"/>
      <c r="AC138" s="121"/>
      <c r="AD138" s="122"/>
      <c r="AE138" s="122"/>
      <c r="AF138" s="122"/>
      <c r="AG138" s="122"/>
      <c r="AH138" s="122"/>
      <c r="AI138" s="122"/>
      <c r="AJ138" s="123"/>
      <c r="AK138" s="50"/>
      <c r="AL138" s="50"/>
      <c r="AM138" s="109"/>
      <c r="AN138" s="110"/>
      <c r="AO138" s="110"/>
      <c r="AP138" s="110"/>
      <c r="AQ138" s="110"/>
      <c r="AR138" s="110"/>
      <c r="AS138" s="110"/>
      <c r="AT138" s="110"/>
      <c r="AU138" s="110"/>
      <c r="AV138" s="110"/>
      <c r="AW138" s="110"/>
      <c r="AX138" s="110"/>
      <c r="AY138" s="110"/>
      <c r="AZ138" s="110"/>
      <c r="BA138" s="110"/>
      <c r="BB138" s="111"/>
      <c r="BC138" s="40"/>
      <c r="BD138" s="35"/>
      <c r="BE138" s="82" t="str">
        <f>IF([6]回答表!F17="下水道事業",IF([6]回答表!X43="○",[6]回答表!E190,IF([6]回答表!AA43="○",[6]回答表!E238,"")),"")</f>
        <v/>
      </c>
      <c r="BF138" s="83"/>
      <c r="BG138" s="83"/>
      <c r="BH138" s="83"/>
      <c r="BI138" s="82" t="str">
        <f>IF([6]回答表!F17="下水道事業",IF([6]回答表!X43="○",[6]回答表!E191,IF([6]回答表!AA43="○",[6]回答表!E239,"")),"")</f>
        <v/>
      </c>
      <c r="BJ138" s="83"/>
      <c r="BK138" s="83"/>
      <c r="BL138" s="83"/>
      <c r="BM138" s="82" t="str">
        <f>IF([6]回答表!F17="下水道事業",IF([6]回答表!X43="○",[6]回答表!E192,IF([6]回答表!AA43="○",[6]回答表!E240,"")),"")</f>
        <v/>
      </c>
      <c r="BN138" s="83"/>
      <c r="BO138" s="83"/>
      <c r="BP138" s="86"/>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4"/>
      <c r="V139" s="125"/>
      <c r="W139" s="125"/>
      <c r="X139" s="125"/>
      <c r="Y139" s="125"/>
      <c r="Z139" s="125"/>
      <c r="AA139" s="125"/>
      <c r="AB139" s="126"/>
      <c r="AC139" s="124"/>
      <c r="AD139" s="125"/>
      <c r="AE139" s="125"/>
      <c r="AF139" s="125"/>
      <c r="AG139" s="125"/>
      <c r="AH139" s="125"/>
      <c r="AI139" s="125"/>
      <c r="AJ139" s="126"/>
      <c r="AK139" s="50"/>
      <c r="AL139" s="50"/>
      <c r="AM139" s="109"/>
      <c r="AN139" s="110"/>
      <c r="AO139" s="110"/>
      <c r="AP139" s="110"/>
      <c r="AQ139" s="110"/>
      <c r="AR139" s="110"/>
      <c r="AS139" s="110"/>
      <c r="AT139" s="110"/>
      <c r="AU139" s="110"/>
      <c r="AV139" s="110"/>
      <c r="AW139" s="110"/>
      <c r="AX139" s="110"/>
      <c r="AY139" s="110"/>
      <c r="AZ139" s="110"/>
      <c r="BA139" s="110"/>
      <c r="BB139" s="111"/>
      <c r="BC139" s="40"/>
      <c r="BD139" s="40"/>
      <c r="BE139" s="82"/>
      <c r="BF139" s="83"/>
      <c r="BG139" s="83"/>
      <c r="BH139" s="83"/>
      <c r="BI139" s="82"/>
      <c r="BJ139" s="83"/>
      <c r="BK139" s="83"/>
      <c r="BL139" s="83"/>
      <c r="BM139" s="82"/>
      <c r="BN139" s="83"/>
      <c r="BO139" s="83"/>
      <c r="BP139" s="86"/>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79" t="s">
        <v>51</v>
      </c>
      <c r="V140" s="180"/>
      <c r="W140" s="180"/>
      <c r="X140" s="180"/>
      <c r="Y140" s="180"/>
      <c r="Z140" s="180"/>
      <c r="AA140" s="180"/>
      <c r="AB140" s="180"/>
      <c r="AC140" s="183" t="s">
        <v>52</v>
      </c>
      <c r="AD140" s="184"/>
      <c r="AE140" s="184"/>
      <c r="AF140" s="184"/>
      <c r="AG140" s="184"/>
      <c r="AH140" s="184"/>
      <c r="AI140" s="184"/>
      <c r="AJ140" s="185"/>
      <c r="AK140" s="50"/>
      <c r="AL140" s="50"/>
      <c r="AM140" s="109"/>
      <c r="AN140" s="110"/>
      <c r="AO140" s="110"/>
      <c r="AP140" s="110"/>
      <c r="AQ140" s="110"/>
      <c r="AR140" s="110"/>
      <c r="AS140" s="110"/>
      <c r="AT140" s="110"/>
      <c r="AU140" s="110"/>
      <c r="AV140" s="110"/>
      <c r="AW140" s="110"/>
      <c r="AX140" s="110"/>
      <c r="AY140" s="110"/>
      <c r="AZ140" s="110"/>
      <c r="BA140" s="110"/>
      <c r="BB140" s="111"/>
      <c r="BC140" s="40"/>
      <c r="BD140" s="35"/>
      <c r="BE140" s="82"/>
      <c r="BF140" s="83"/>
      <c r="BG140" s="83"/>
      <c r="BH140" s="83"/>
      <c r="BI140" s="82"/>
      <c r="BJ140" s="83"/>
      <c r="BK140" s="83"/>
      <c r="BL140" s="83"/>
      <c r="BM140" s="82"/>
      <c r="BN140" s="83"/>
      <c r="BO140" s="83"/>
      <c r="BP140" s="86"/>
      <c r="BQ140" s="38"/>
    </row>
    <row r="141" spans="3:69" ht="19.350000000000001" customHeight="1" x14ac:dyDescent="0.4">
      <c r="C141" s="33"/>
      <c r="D141" s="177" t="s">
        <v>26</v>
      </c>
      <c r="E141" s="172"/>
      <c r="F141" s="172"/>
      <c r="G141" s="172"/>
      <c r="H141" s="172"/>
      <c r="I141" s="172"/>
      <c r="J141" s="172"/>
      <c r="K141" s="172"/>
      <c r="L141" s="172"/>
      <c r="M141" s="173"/>
      <c r="N141" s="97" t="str">
        <f>IF([6]回答表!F17="下水道事業",IF([6]回答表!AA43="○","○",""),"")</f>
        <v/>
      </c>
      <c r="O141" s="98"/>
      <c r="P141" s="98"/>
      <c r="Q141" s="99"/>
      <c r="R141" s="39"/>
      <c r="S141" s="39"/>
      <c r="T141" s="39"/>
      <c r="U141" s="181"/>
      <c r="V141" s="182"/>
      <c r="W141" s="182"/>
      <c r="X141" s="182"/>
      <c r="Y141" s="182"/>
      <c r="Z141" s="182"/>
      <c r="AA141" s="182"/>
      <c r="AB141" s="182"/>
      <c r="AC141" s="186"/>
      <c r="AD141" s="187"/>
      <c r="AE141" s="187"/>
      <c r="AF141" s="187"/>
      <c r="AG141" s="187"/>
      <c r="AH141" s="187"/>
      <c r="AI141" s="187"/>
      <c r="AJ141" s="188"/>
      <c r="AK141" s="50"/>
      <c r="AL141" s="50"/>
      <c r="AM141" s="109"/>
      <c r="AN141" s="110"/>
      <c r="AO141" s="110"/>
      <c r="AP141" s="110"/>
      <c r="AQ141" s="110"/>
      <c r="AR141" s="110"/>
      <c r="AS141" s="110"/>
      <c r="AT141" s="110"/>
      <c r="AU141" s="110"/>
      <c r="AV141" s="110"/>
      <c r="AW141" s="110"/>
      <c r="AX141" s="110"/>
      <c r="AY141" s="110"/>
      <c r="AZ141" s="110"/>
      <c r="BA141" s="110"/>
      <c r="BB141" s="111"/>
      <c r="BC141" s="40"/>
      <c r="BD141" s="54"/>
      <c r="BE141" s="82"/>
      <c r="BF141" s="83"/>
      <c r="BG141" s="83"/>
      <c r="BH141" s="83"/>
      <c r="BI141" s="82"/>
      <c r="BJ141" s="83"/>
      <c r="BK141" s="83"/>
      <c r="BL141" s="83"/>
      <c r="BM141" s="82"/>
      <c r="BN141" s="83"/>
      <c r="BO141" s="83"/>
      <c r="BP141" s="86"/>
      <c r="BQ141" s="38"/>
    </row>
    <row r="142" spans="3:69" ht="15.6" customHeight="1" x14ac:dyDescent="0.4">
      <c r="C142" s="33"/>
      <c r="D142" s="172"/>
      <c r="E142" s="172"/>
      <c r="F142" s="172"/>
      <c r="G142" s="172"/>
      <c r="H142" s="172"/>
      <c r="I142" s="172"/>
      <c r="J142" s="172"/>
      <c r="K142" s="172"/>
      <c r="L142" s="172"/>
      <c r="M142" s="173"/>
      <c r="N142" s="100"/>
      <c r="O142" s="101"/>
      <c r="P142" s="101"/>
      <c r="Q142" s="102"/>
      <c r="R142" s="39"/>
      <c r="S142" s="39"/>
      <c r="T142" s="39"/>
      <c r="U142" s="118" t="str">
        <f>IF([6]回答表!F17="下水道事業",IF([6]回答表!X43="○",[6]回答表!Y186,IF([6]回答表!AA43="○",[6]回答表!Y234,"")),"")</f>
        <v/>
      </c>
      <c r="V142" s="119"/>
      <c r="W142" s="119"/>
      <c r="X142" s="119"/>
      <c r="Y142" s="119"/>
      <c r="Z142" s="119"/>
      <c r="AA142" s="119"/>
      <c r="AB142" s="120"/>
      <c r="AC142" s="118" t="str">
        <f>IF([6]回答表!F17="下水道事業",IF([6]回答表!X43="○",[6]回答表!Y187,IF([6]回答表!AA43="○",[6]回答表!Y235,"")),"")</f>
        <v/>
      </c>
      <c r="AD142" s="119"/>
      <c r="AE142" s="119"/>
      <c r="AF142" s="119"/>
      <c r="AG142" s="119"/>
      <c r="AH142" s="119"/>
      <c r="AI142" s="119"/>
      <c r="AJ142" s="120"/>
      <c r="AK142" s="50"/>
      <c r="AL142" s="50"/>
      <c r="AM142" s="109"/>
      <c r="AN142" s="110"/>
      <c r="AO142" s="110"/>
      <c r="AP142" s="110"/>
      <c r="AQ142" s="110"/>
      <c r="AR142" s="110"/>
      <c r="AS142" s="110"/>
      <c r="AT142" s="110"/>
      <c r="AU142" s="110"/>
      <c r="AV142" s="110"/>
      <c r="AW142" s="110"/>
      <c r="AX142" s="110"/>
      <c r="AY142" s="110"/>
      <c r="AZ142" s="110"/>
      <c r="BA142" s="110"/>
      <c r="BB142" s="111"/>
      <c r="BC142" s="40"/>
      <c r="BD142" s="54"/>
      <c r="BE142" s="82" t="s">
        <v>23</v>
      </c>
      <c r="BF142" s="83"/>
      <c r="BG142" s="83"/>
      <c r="BH142" s="83"/>
      <c r="BI142" s="82" t="s">
        <v>24</v>
      </c>
      <c r="BJ142" s="83"/>
      <c r="BK142" s="83"/>
      <c r="BL142" s="83"/>
      <c r="BM142" s="82" t="s">
        <v>25</v>
      </c>
      <c r="BN142" s="83"/>
      <c r="BO142" s="83"/>
      <c r="BP142" s="86"/>
      <c r="BQ142" s="38"/>
    </row>
    <row r="143" spans="3:69" ht="15.6" customHeight="1" x14ac:dyDescent="0.4">
      <c r="C143" s="33"/>
      <c r="D143" s="172"/>
      <c r="E143" s="172"/>
      <c r="F143" s="172"/>
      <c r="G143" s="172"/>
      <c r="H143" s="172"/>
      <c r="I143" s="172"/>
      <c r="J143" s="172"/>
      <c r="K143" s="172"/>
      <c r="L143" s="172"/>
      <c r="M143" s="173"/>
      <c r="N143" s="100"/>
      <c r="O143" s="101"/>
      <c r="P143" s="101"/>
      <c r="Q143" s="102"/>
      <c r="R143" s="39"/>
      <c r="S143" s="39"/>
      <c r="T143" s="39"/>
      <c r="U143" s="121"/>
      <c r="V143" s="122"/>
      <c r="W143" s="122"/>
      <c r="X143" s="122"/>
      <c r="Y143" s="122"/>
      <c r="Z143" s="122"/>
      <c r="AA143" s="122"/>
      <c r="AB143" s="123"/>
      <c r="AC143" s="121"/>
      <c r="AD143" s="122"/>
      <c r="AE143" s="122"/>
      <c r="AF143" s="122"/>
      <c r="AG143" s="122"/>
      <c r="AH143" s="122"/>
      <c r="AI143" s="122"/>
      <c r="AJ143" s="123"/>
      <c r="AK143" s="50"/>
      <c r="AL143" s="50"/>
      <c r="AM143" s="109"/>
      <c r="AN143" s="110"/>
      <c r="AO143" s="110"/>
      <c r="AP143" s="110"/>
      <c r="AQ143" s="110"/>
      <c r="AR143" s="110"/>
      <c r="AS143" s="110"/>
      <c r="AT143" s="110"/>
      <c r="AU143" s="110"/>
      <c r="AV143" s="110"/>
      <c r="AW143" s="110"/>
      <c r="AX143" s="110"/>
      <c r="AY143" s="110"/>
      <c r="AZ143" s="110"/>
      <c r="BA143" s="110"/>
      <c r="BB143" s="111"/>
      <c r="BC143" s="40"/>
      <c r="BD143" s="54"/>
      <c r="BE143" s="82"/>
      <c r="BF143" s="83"/>
      <c r="BG143" s="83"/>
      <c r="BH143" s="83"/>
      <c r="BI143" s="82"/>
      <c r="BJ143" s="83"/>
      <c r="BK143" s="83"/>
      <c r="BL143" s="83"/>
      <c r="BM143" s="82"/>
      <c r="BN143" s="83"/>
      <c r="BO143" s="83"/>
      <c r="BP143" s="86"/>
      <c r="BQ143" s="38"/>
    </row>
    <row r="144" spans="3:69" ht="15.6" customHeight="1" x14ac:dyDescent="0.4">
      <c r="C144" s="33"/>
      <c r="D144" s="172"/>
      <c r="E144" s="172"/>
      <c r="F144" s="172"/>
      <c r="G144" s="172"/>
      <c r="H144" s="172"/>
      <c r="I144" s="172"/>
      <c r="J144" s="172"/>
      <c r="K144" s="172"/>
      <c r="L144" s="172"/>
      <c r="M144" s="173"/>
      <c r="N144" s="103"/>
      <c r="O144" s="104"/>
      <c r="P144" s="104"/>
      <c r="Q144" s="105"/>
      <c r="R144" s="39"/>
      <c r="S144" s="39"/>
      <c r="T144" s="39"/>
      <c r="U144" s="124"/>
      <c r="V144" s="125"/>
      <c r="W144" s="125"/>
      <c r="X144" s="125"/>
      <c r="Y144" s="125"/>
      <c r="Z144" s="125"/>
      <c r="AA144" s="125"/>
      <c r="AB144" s="126"/>
      <c r="AC144" s="124"/>
      <c r="AD144" s="125"/>
      <c r="AE144" s="125"/>
      <c r="AF144" s="125"/>
      <c r="AG144" s="125"/>
      <c r="AH144" s="125"/>
      <c r="AI144" s="125"/>
      <c r="AJ144" s="126"/>
      <c r="AK144" s="50"/>
      <c r="AL144" s="50"/>
      <c r="AM144" s="112"/>
      <c r="AN144" s="113"/>
      <c r="AO144" s="113"/>
      <c r="AP144" s="113"/>
      <c r="AQ144" s="113"/>
      <c r="AR144" s="113"/>
      <c r="AS144" s="113"/>
      <c r="AT144" s="113"/>
      <c r="AU144" s="113"/>
      <c r="AV144" s="113"/>
      <c r="AW144" s="113"/>
      <c r="AX144" s="113"/>
      <c r="AY144" s="113"/>
      <c r="AZ144" s="113"/>
      <c r="BA144" s="113"/>
      <c r="BB144" s="114"/>
      <c r="BC144" s="40"/>
      <c r="BD144" s="54"/>
      <c r="BE144" s="84"/>
      <c r="BF144" s="85"/>
      <c r="BG144" s="85"/>
      <c r="BH144" s="85"/>
      <c r="BI144" s="84"/>
      <c r="BJ144" s="85"/>
      <c r="BK144" s="85"/>
      <c r="BL144" s="85"/>
      <c r="BM144" s="84"/>
      <c r="BN144" s="85"/>
      <c r="BO144" s="85"/>
      <c r="BP144" s="87"/>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2" t="s">
        <v>34</v>
      </c>
      <c r="E147" s="172"/>
      <c r="F147" s="172"/>
      <c r="G147" s="172"/>
      <c r="H147" s="172"/>
      <c r="I147" s="172"/>
      <c r="J147" s="172"/>
      <c r="K147" s="172"/>
      <c r="L147" s="172"/>
      <c r="M147" s="173"/>
      <c r="N147" s="97" t="str">
        <f>IF([6]回答表!F17="下水道事業",IF([6]回答表!AD43="○","○",""),"")</f>
        <v/>
      </c>
      <c r="O147" s="98"/>
      <c r="P147" s="98"/>
      <c r="Q147" s="99"/>
      <c r="R147" s="39"/>
      <c r="S147" s="39"/>
      <c r="T147" s="39"/>
      <c r="U147" s="106" t="str">
        <f>IF([6]回答表!F17="下水道事業",IF([6]回答表!AD43="○",[6]回答表!B249,""),"")</f>
        <v/>
      </c>
      <c r="V147" s="107"/>
      <c r="W147" s="107"/>
      <c r="X147" s="107"/>
      <c r="Y147" s="107"/>
      <c r="Z147" s="107"/>
      <c r="AA147" s="107"/>
      <c r="AB147" s="107"/>
      <c r="AC147" s="107"/>
      <c r="AD147" s="107"/>
      <c r="AE147" s="107"/>
      <c r="AF147" s="107"/>
      <c r="AG147" s="107"/>
      <c r="AH147" s="107"/>
      <c r="AI147" s="107"/>
      <c r="AJ147" s="108"/>
      <c r="AK147" s="56"/>
      <c r="AL147" s="56"/>
      <c r="AM147" s="106" t="str">
        <f>IF([6]回答表!F17="下水道事業",IF([6]回答表!AD43="○",[6]回答表!B255,""),"")</f>
        <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8"/>
      <c r="BQ147" s="38"/>
    </row>
    <row r="148" spans="3:69" ht="15.6" customHeight="1" x14ac:dyDescent="0.4">
      <c r="C148" s="33"/>
      <c r="D148" s="172"/>
      <c r="E148" s="172"/>
      <c r="F148" s="172"/>
      <c r="G148" s="172"/>
      <c r="H148" s="172"/>
      <c r="I148" s="172"/>
      <c r="J148" s="172"/>
      <c r="K148" s="172"/>
      <c r="L148" s="172"/>
      <c r="M148" s="173"/>
      <c r="N148" s="100"/>
      <c r="O148" s="101"/>
      <c r="P148" s="101"/>
      <c r="Q148" s="102"/>
      <c r="R148" s="39"/>
      <c r="S148" s="39"/>
      <c r="T148" s="39"/>
      <c r="U148" s="109"/>
      <c r="V148" s="110"/>
      <c r="W148" s="110"/>
      <c r="X148" s="110"/>
      <c r="Y148" s="110"/>
      <c r="Z148" s="110"/>
      <c r="AA148" s="110"/>
      <c r="AB148" s="110"/>
      <c r="AC148" s="110"/>
      <c r="AD148" s="110"/>
      <c r="AE148" s="110"/>
      <c r="AF148" s="110"/>
      <c r="AG148" s="110"/>
      <c r="AH148" s="110"/>
      <c r="AI148" s="110"/>
      <c r="AJ148" s="111"/>
      <c r="AK148" s="56"/>
      <c r="AL148" s="56"/>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1"/>
      <c r="BQ148" s="38"/>
    </row>
    <row r="149" spans="3:69" ht="15.6" customHeight="1" x14ac:dyDescent="0.4">
      <c r="C149" s="33"/>
      <c r="D149" s="172"/>
      <c r="E149" s="172"/>
      <c r="F149" s="172"/>
      <c r="G149" s="172"/>
      <c r="H149" s="172"/>
      <c r="I149" s="172"/>
      <c r="J149" s="172"/>
      <c r="K149" s="172"/>
      <c r="L149" s="172"/>
      <c r="M149" s="173"/>
      <c r="N149" s="100"/>
      <c r="O149" s="101"/>
      <c r="P149" s="101"/>
      <c r="Q149" s="102"/>
      <c r="R149" s="39"/>
      <c r="S149" s="39"/>
      <c r="T149" s="39"/>
      <c r="U149" s="109"/>
      <c r="V149" s="110"/>
      <c r="W149" s="110"/>
      <c r="X149" s="110"/>
      <c r="Y149" s="110"/>
      <c r="Z149" s="110"/>
      <c r="AA149" s="110"/>
      <c r="AB149" s="110"/>
      <c r="AC149" s="110"/>
      <c r="AD149" s="110"/>
      <c r="AE149" s="110"/>
      <c r="AF149" s="110"/>
      <c r="AG149" s="110"/>
      <c r="AH149" s="110"/>
      <c r="AI149" s="110"/>
      <c r="AJ149" s="111"/>
      <c r="AK149" s="56"/>
      <c r="AL149" s="56"/>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1"/>
      <c r="BQ149" s="38"/>
    </row>
    <row r="150" spans="3:69" ht="15.6" customHeight="1" x14ac:dyDescent="0.4">
      <c r="C150" s="33"/>
      <c r="D150" s="172"/>
      <c r="E150" s="172"/>
      <c r="F150" s="172"/>
      <c r="G150" s="172"/>
      <c r="H150" s="172"/>
      <c r="I150" s="172"/>
      <c r="J150" s="172"/>
      <c r="K150" s="172"/>
      <c r="L150" s="172"/>
      <c r="M150" s="173"/>
      <c r="N150" s="103"/>
      <c r="O150" s="104"/>
      <c r="P150" s="104"/>
      <c r="Q150" s="105"/>
      <c r="R150" s="39"/>
      <c r="S150" s="39"/>
      <c r="T150" s="39"/>
      <c r="U150" s="112"/>
      <c r="V150" s="113"/>
      <c r="W150" s="113"/>
      <c r="X150" s="113"/>
      <c r="Y150" s="113"/>
      <c r="Z150" s="113"/>
      <c r="AA150" s="113"/>
      <c r="AB150" s="113"/>
      <c r="AC150" s="113"/>
      <c r="AD150" s="113"/>
      <c r="AE150" s="113"/>
      <c r="AF150" s="113"/>
      <c r="AG150" s="113"/>
      <c r="AH150" s="113"/>
      <c r="AI150" s="113"/>
      <c r="AJ150" s="114"/>
      <c r="AK150" s="56"/>
      <c r="AL150" s="56"/>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4"/>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3"/>
      <c r="AS153" s="153"/>
      <c r="AT153" s="153"/>
      <c r="AU153" s="153"/>
      <c r="AV153" s="153"/>
      <c r="AW153" s="153"/>
      <c r="AX153" s="153"/>
      <c r="AY153" s="153"/>
      <c r="AZ153" s="153"/>
      <c r="BA153" s="153"/>
      <c r="BB153" s="153"/>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78"/>
      <c r="AS154" s="178"/>
      <c r="AT154" s="178"/>
      <c r="AU154" s="178"/>
      <c r="AV154" s="178"/>
      <c r="AW154" s="178"/>
      <c r="AX154" s="178"/>
      <c r="AY154" s="178"/>
      <c r="AZ154" s="178"/>
      <c r="BA154" s="178"/>
      <c r="BB154" s="178"/>
      <c r="BC154" s="34"/>
      <c r="BD154" s="35"/>
      <c r="BE154" s="35"/>
      <c r="BF154" s="35"/>
      <c r="BG154" s="35"/>
      <c r="BH154" s="35"/>
      <c r="BI154" s="35"/>
      <c r="BJ154" s="35"/>
      <c r="BK154" s="35"/>
      <c r="BL154" s="35"/>
      <c r="BM154" s="36"/>
      <c r="BN154" s="36"/>
      <c r="BO154" s="36"/>
      <c r="BP154" s="37"/>
      <c r="BQ154" s="38"/>
    </row>
    <row r="155" spans="3:69" ht="15.6" customHeight="1" x14ac:dyDescent="0.5">
      <c r="C155" s="33"/>
      <c r="D155" s="128" t="s">
        <v>14</v>
      </c>
      <c r="E155" s="129"/>
      <c r="F155" s="129"/>
      <c r="G155" s="129"/>
      <c r="H155" s="129"/>
      <c r="I155" s="129"/>
      <c r="J155" s="129"/>
      <c r="K155" s="129"/>
      <c r="L155" s="129"/>
      <c r="M155" s="129"/>
      <c r="N155" s="129"/>
      <c r="O155" s="129"/>
      <c r="P155" s="129"/>
      <c r="Q155" s="130"/>
      <c r="R155" s="88" t="s">
        <v>53</v>
      </c>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90"/>
      <c r="BC155" s="34"/>
      <c r="BD155" s="35"/>
      <c r="BE155" s="35"/>
      <c r="BF155" s="35"/>
      <c r="BG155" s="35"/>
      <c r="BH155" s="35"/>
      <c r="BI155" s="35"/>
      <c r="BJ155" s="35"/>
      <c r="BK155" s="35"/>
      <c r="BL155" s="35"/>
      <c r="BM155" s="36"/>
      <c r="BN155" s="36"/>
      <c r="BO155" s="36"/>
      <c r="BP155" s="37"/>
      <c r="BQ155" s="38"/>
    </row>
    <row r="156" spans="3:69" ht="15.6" customHeight="1" x14ac:dyDescent="0.5">
      <c r="C156" s="33"/>
      <c r="D156" s="131"/>
      <c r="E156" s="132"/>
      <c r="F156" s="132"/>
      <c r="G156" s="132"/>
      <c r="H156" s="132"/>
      <c r="I156" s="132"/>
      <c r="J156" s="132"/>
      <c r="K156" s="132"/>
      <c r="L156" s="132"/>
      <c r="M156" s="132"/>
      <c r="N156" s="132"/>
      <c r="O156" s="132"/>
      <c r="P156" s="132"/>
      <c r="Q156" s="133"/>
      <c r="R156" s="94"/>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6"/>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2" t="s">
        <v>18</v>
      </c>
      <c r="E159" s="172"/>
      <c r="F159" s="172"/>
      <c r="G159" s="172"/>
      <c r="H159" s="172"/>
      <c r="I159" s="172"/>
      <c r="J159" s="172"/>
      <c r="K159" s="172"/>
      <c r="L159" s="172"/>
      <c r="M159" s="172"/>
      <c r="N159" s="97" t="str">
        <f>IF([6]回答表!BD17="○",IF([6]回答表!X43="○","○",""),"")</f>
        <v/>
      </c>
      <c r="O159" s="98"/>
      <c r="P159" s="98"/>
      <c r="Q159" s="99"/>
      <c r="R159" s="39"/>
      <c r="S159" s="39"/>
      <c r="T159" s="39"/>
      <c r="U159" s="106" t="str">
        <f>IF([6]回答表!BD17="○",IF([6]回答表!X43="○",[6]回答表!B154,IF([6]回答表!AA43="○",[6]回答表!B201,"")),"")</f>
        <v/>
      </c>
      <c r="V159" s="107"/>
      <c r="W159" s="107"/>
      <c r="X159" s="107"/>
      <c r="Y159" s="107"/>
      <c r="Z159" s="107"/>
      <c r="AA159" s="107"/>
      <c r="AB159" s="107"/>
      <c r="AC159" s="107"/>
      <c r="AD159" s="107"/>
      <c r="AE159" s="107"/>
      <c r="AF159" s="107"/>
      <c r="AG159" s="107"/>
      <c r="AH159" s="107"/>
      <c r="AI159" s="107"/>
      <c r="AJ159" s="108"/>
      <c r="AK159" s="50"/>
      <c r="AL159" s="50"/>
      <c r="AM159" s="115" t="str">
        <f>IF([6]回答表!BD17="○",IF([6]回答表!X43="○",[6]回答表!B190,IF([6]回答表!AA43="○",[6]回答表!B238,"")),"")</f>
        <v/>
      </c>
      <c r="AN159" s="116"/>
      <c r="AO159" s="116"/>
      <c r="AP159" s="116"/>
      <c r="AQ159" s="115"/>
      <c r="AR159" s="116"/>
      <c r="AS159" s="116"/>
      <c r="AT159" s="116"/>
      <c r="AU159" s="115"/>
      <c r="AV159" s="116"/>
      <c r="AW159" s="116"/>
      <c r="AX159" s="117"/>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2"/>
      <c r="E160" s="172"/>
      <c r="F160" s="172"/>
      <c r="G160" s="172"/>
      <c r="H160" s="172"/>
      <c r="I160" s="172"/>
      <c r="J160" s="172"/>
      <c r="K160" s="172"/>
      <c r="L160" s="172"/>
      <c r="M160" s="172"/>
      <c r="N160" s="100"/>
      <c r="O160" s="101"/>
      <c r="P160" s="101"/>
      <c r="Q160" s="102"/>
      <c r="R160" s="39"/>
      <c r="S160" s="39"/>
      <c r="T160" s="39"/>
      <c r="U160" s="109"/>
      <c r="V160" s="110"/>
      <c r="W160" s="110"/>
      <c r="X160" s="110"/>
      <c r="Y160" s="110"/>
      <c r="Z160" s="110"/>
      <c r="AA160" s="110"/>
      <c r="AB160" s="110"/>
      <c r="AC160" s="110"/>
      <c r="AD160" s="110"/>
      <c r="AE160" s="110"/>
      <c r="AF160" s="110"/>
      <c r="AG160" s="110"/>
      <c r="AH160" s="110"/>
      <c r="AI160" s="110"/>
      <c r="AJ160" s="111"/>
      <c r="AK160" s="50"/>
      <c r="AL160" s="50"/>
      <c r="AM160" s="82"/>
      <c r="AN160" s="83"/>
      <c r="AO160" s="83"/>
      <c r="AP160" s="83"/>
      <c r="AQ160" s="82"/>
      <c r="AR160" s="83"/>
      <c r="AS160" s="83"/>
      <c r="AT160" s="83"/>
      <c r="AU160" s="82"/>
      <c r="AV160" s="83"/>
      <c r="AW160" s="83"/>
      <c r="AX160" s="86"/>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2"/>
      <c r="E161" s="172"/>
      <c r="F161" s="172"/>
      <c r="G161" s="172"/>
      <c r="H161" s="172"/>
      <c r="I161" s="172"/>
      <c r="J161" s="172"/>
      <c r="K161" s="172"/>
      <c r="L161" s="172"/>
      <c r="M161" s="172"/>
      <c r="N161" s="100"/>
      <c r="O161" s="101"/>
      <c r="P161" s="101"/>
      <c r="Q161" s="102"/>
      <c r="R161" s="39"/>
      <c r="S161" s="39"/>
      <c r="T161" s="39"/>
      <c r="U161" s="109"/>
      <c r="V161" s="110"/>
      <c r="W161" s="110"/>
      <c r="X161" s="110"/>
      <c r="Y161" s="110"/>
      <c r="Z161" s="110"/>
      <c r="AA161" s="110"/>
      <c r="AB161" s="110"/>
      <c r="AC161" s="110"/>
      <c r="AD161" s="110"/>
      <c r="AE161" s="110"/>
      <c r="AF161" s="110"/>
      <c r="AG161" s="110"/>
      <c r="AH161" s="110"/>
      <c r="AI161" s="110"/>
      <c r="AJ161" s="111"/>
      <c r="AK161" s="50"/>
      <c r="AL161" s="50"/>
      <c r="AM161" s="82"/>
      <c r="AN161" s="83"/>
      <c r="AO161" s="83"/>
      <c r="AP161" s="83"/>
      <c r="AQ161" s="82"/>
      <c r="AR161" s="83"/>
      <c r="AS161" s="83"/>
      <c r="AT161" s="83"/>
      <c r="AU161" s="82"/>
      <c r="AV161" s="83"/>
      <c r="AW161" s="83"/>
      <c r="AX161" s="86"/>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2"/>
      <c r="E162" s="172"/>
      <c r="F162" s="172"/>
      <c r="G162" s="172"/>
      <c r="H162" s="172"/>
      <c r="I162" s="172"/>
      <c r="J162" s="172"/>
      <c r="K162" s="172"/>
      <c r="L162" s="172"/>
      <c r="M162" s="172"/>
      <c r="N162" s="103"/>
      <c r="O162" s="104"/>
      <c r="P162" s="104"/>
      <c r="Q162" s="105"/>
      <c r="R162" s="39"/>
      <c r="S162" s="39"/>
      <c r="T162" s="39"/>
      <c r="U162" s="109"/>
      <c r="V162" s="110"/>
      <c r="W162" s="110"/>
      <c r="X162" s="110"/>
      <c r="Y162" s="110"/>
      <c r="Z162" s="110"/>
      <c r="AA162" s="110"/>
      <c r="AB162" s="110"/>
      <c r="AC162" s="110"/>
      <c r="AD162" s="110"/>
      <c r="AE162" s="110"/>
      <c r="AF162" s="110"/>
      <c r="AG162" s="110"/>
      <c r="AH162" s="110"/>
      <c r="AI162" s="110"/>
      <c r="AJ162" s="111"/>
      <c r="AK162" s="50"/>
      <c r="AL162" s="50"/>
      <c r="AM162" s="82" t="str">
        <f>IF([6]回答表!BD17="○",IF([6]回答表!X43="○",[6]回答表!E190,IF([6]回答表!AA43="○",[6]回答表!E238,"")),"")</f>
        <v/>
      </c>
      <c r="AN162" s="83"/>
      <c r="AO162" s="83"/>
      <c r="AP162" s="83"/>
      <c r="AQ162" s="82" t="str">
        <f>IF([6]回答表!BD17="○",IF([6]回答表!X43="○",[6]回答表!E191,IF([6]回答表!AA43="○",[6]回答表!E239,"")),"")</f>
        <v/>
      </c>
      <c r="AR162" s="83"/>
      <c r="AS162" s="83"/>
      <c r="AT162" s="83"/>
      <c r="AU162" s="82" t="str">
        <f>IF([6]回答表!BD17="○",IF([6]回答表!X43="○",[6]回答表!E192,IF([6]回答表!AA43="○",[6]回答表!E240,"")),"")</f>
        <v/>
      </c>
      <c r="AV162" s="83"/>
      <c r="AW162" s="83"/>
      <c r="AX162" s="86"/>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09"/>
      <c r="V163" s="110"/>
      <c r="W163" s="110"/>
      <c r="X163" s="110"/>
      <c r="Y163" s="110"/>
      <c r="Z163" s="110"/>
      <c r="AA163" s="110"/>
      <c r="AB163" s="110"/>
      <c r="AC163" s="110"/>
      <c r="AD163" s="110"/>
      <c r="AE163" s="110"/>
      <c r="AF163" s="110"/>
      <c r="AG163" s="110"/>
      <c r="AH163" s="110"/>
      <c r="AI163" s="110"/>
      <c r="AJ163" s="111"/>
      <c r="AK163" s="50"/>
      <c r="AL163" s="50"/>
      <c r="AM163" s="82"/>
      <c r="AN163" s="83"/>
      <c r="AO163" s="83"/>
      <c r="AP163" s="83"/>
      <c r="AQ163" s="82"/>
      <c r="AR163" s="83"/>
      <c r="AS163" s="83"/>
      <c r="AT163" s="83"/>
      <c r="AU163" s="82"/>
      <c r="AV163" s="83"/>
      <c r="AW163" s="83"/>
      <c r="AX163" s="86"/>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09"/>
      <c r="V164" s="110"/>
      <c r="W164" s="110"/>
      <c r="X164" s="110"/>
      <c r="Y164" s="110"/>
      <c r="Z164" s="110"/>
      <c r="AA164" s="110"/>
      <c r="AB164" s="110"/>
      <c r="AC164" s="110"/>
      <c r="AD164" s="110"/>
      <c r="AE164" s="110"/>
      <c r="AF164" s="110"/>
      <c r="AG164" s="110"/>
      <c r="AH164" s="110"/>
      <c r="AI164" s="110"/>
      <c r="AJ164" s="111"/>
      <c r="AK164" s="50"/>
      <c r="AL164" s="50"/>
      <c r="AM164" s="82"/>
      <c r="AN164" s="83"/>
      <c r="AO164" s="83"/>
      <c r="AP164" s="83"/>
      <c r="AQ164" s="82"/>
      <c r="AR164" s="83"/>
      <c r="AS164" s="83"/>
      <c r="AT164" s="83"/>
      <c r="AU164" s="82"/>
      <c r="AV164" s="83"/>
      <c r="AW164" s="83"/>
      <c r="AX164" s="86"/>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7" t="s">
        <v>26</v>
      </c>
      <c r="E165" s="172"/>
      <c r="F165" s="172"/>
      <c r="G165" s="172"/>
      <c r="H165" s="172"/>
      <c r="I165" s="172"/>
      <c r="J165" s="172"/>
      <c r="K165" s="172"/>
      <c r="L165" s="172"/>
      <c r="M165" s="173"/>
      <c r="N165" s="97" t="str">
        <f>IF([6]回答表!BD17="○",IF([6]回答表!AA43="○","○",""),"")</f>
        <v/>
      </c>
      <c r="O165" s="98"/>
      <c r="P165" s="98"/>
      <c r="Q165" s="99"/>
      <c r="R165" s="39"/>
      <c r="S165" s="39"/>
      <c r="T165" s="39"/>
      <c r="U165" s="109"/>
      <c r="V165" s="110"/>
      <c r="W165" s="110"/>
      <c r="X165" s="110"/>
      <c r="Y165" s="110"/>
      <c r="Z165" s="110"/>
      <c r="AA165" s="110"/>
      <c r="AB165" s="110"/>
      <c r="AC165" s="110"/>
      <c r="AD165" s="110"/>
      <c r="AE165" s="110"/>
      <c r="AF165" s="110"/>
      <c r="AG165" s="110"/>
      <c r="AH165" s="110"/>
      <c r="AI165" s="110"/>
      <c r="AJ165" s="111"/>
      <c r="AK165" s="50"/>
      <c r="AL165" s="50"/>
      <c r="AM165" s="82"/>
      <c r="AN165" s="83"/>
      <c r="AO165" s="83"/>
      <c r="AP165" s="83"/>
      <c r="AQ165" s="82"/>
      <c r="AR165" s="83"/>
      <c r="AS165" s="83"/>
      <c r="AT165" s="83"/>
      <c r="AU165" s="82"/>
      <c r="AV165" s="83"/>
      <c r="AW165" s="83"/>
      <c r="AX165" s="86"/>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2"/>
      <c r="E166" s="172"/>
      <c r="F166" s="172"/>
      <c r="G166" s="172"/>
      <c r="H166" s="172"/>
      <c r="I166" s="172"/>
      <c r="J166" s="172"/>
      <c r="K166" s="172"/>
      <c r="L166" s="172"/>
      <c r="M166" s="173"/>
      <c r="N166" s="100"/>
      <c r="O166" s="101"/>
      <c r="P166" s="101"/>
      <c r="Q166" s="102"/>
      <c r="R166" s="39"/>
      <c r="S166" s="39"/>
      <c r="T166" s="39"/>
      <c r="U166" s="109"/>
      <c r="V166" s="110"/>
      <c r="W166" s="110"/>
      <c r="X166" s="110"/>
      <c r="Y166" s="110"/>
      <c r="Z166" s="110"/>
      <c r="AA166" s="110"/>
      <c r="AB166" s="110"/>
      <c r="AC166" s="110"/>
      <c r="AD166" s="110"/>
      <c r="AE166" s="110"/>
      <c r="AF166" s="110"/>
      <c r="AG166" s="110"/>
      <c r="AH166" s="110"/>
      <c r="AI166" s="110"/>
      <c r="AJ166" s="111"/>
      <c r="AK166" s="50"/>
      <c r="AL166" s="50"/>
      <c r="AM166" s="82" t="s">
        <v>23</v>
      </c>
      <c r="AN166" s="83"/>
      <c r="AO166" s="83"/>
      <c r="AP166" s="83"/>
      <c r="AQ166" s="82" t="s">
        <v>24</v>
      </c>
      <c r="AR166" s="83"/>
      <c r="AS166" s="83"/>
      <c r="AT166" s="83"/>
      <c r="AU166" s="82" t="s">
        <v>25</v>
      </c>
      <c r="AV166" s="83"/>
      <c r="AW166" s="83"/>
      <c r="AX166" s="86"/>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2"/>
      <c r="E167" s="172"/>
      <c r="F167" s="172"/>
      <c r="G167" s="172"/>
      <c r="H167" s="172"/>
      <c r="I167" s="172"/>
      <c r="J167" s="172"/>
      <c r="K167" s="172"/>
      <c r="L167" s="172"/>
      <c r="M167" s="173"/>
      <c r="N167" s="100"/>
      <c r="O167" s="101"/>
      <c r="P167" s="101"/>
      <c r="Q167" s="102"/>
      <c r="R167" s="39"/>
      <c r="S167" s="39"/>
      <c r="T167" s="39"/>
      <c r="U167" s="109"/>
      <c r="V167" s="110"/>
      <c r="W167" s="110"/>
      <c r="X167" s="110"/>
      <c r="Y167" s="110"/>
      <c r="Z167" s="110"/>
      <c r="AA167" s="110"/>
      <c r="AB167" s="110"/>
      <c r="AC167" s="110"/>
      <c r="AD167" s="110"/>
      <c r="AE167" s="110"/>
      <c r="AF167" s="110"/>
      <c r="AG167" s="110"/>
      <c r="AH167" s="110"/>
      <c r="AI167" s="110"/>
      <c r="AJ167" s="111"/>
      <c r="AK167" s="50"/>
      <c r="AL167" s="50"/>
      <c r="AM167" s="82"/>
      <c r="AN167" s="83"/>
      <c r="AO167" s="83"/>
      <c r="AP167" s="83"/>
      <c r="AQ167" s="82"/>
      <c r="AR167" s="83"/>
      <c r="AS167" s="83"/>
      <c r="AT167" s="83"/>
      <c r="AU167" s="82"/>
      <c r="AV167" s="83"/>
      <c r="AW167" s="83"/>
      <c r="AX167" s="86"/>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2"/>
      <c r="E168" s="172"/>
      <c r="F168" s="172"/>
      <c r="G168" s="172"/>
      <c r="H168" s="172"/>
      <c r="I168" s="172"/>
      <c r="J168" s="172"/>
      <c r="K168" s="172"/>
      <c r="L168" s="172"/>
      <c r="M168" s="173"/>
      <c r="N168" s="103"/>
      <c r="O168" s="104"/>
      <c r="P168" s="104"/>
      <c r="Q168" s="105"/>
      <c r="R168" s="39"/>
      <c r="S168" s="39"/>
      <c r="T168" s="39"/>
      <c r="U168" s="112"/>
      <c r="V168" s="113"/>
      <c r="W168" s="113"/>
      <c r="X168" s="113"/>
      <c r="Y168" s="113"/>
      <c r="Z168" s="113"/>
      <c r="AA168" s="113"/>
      <c r="AB168" s="113"/>
      <c r="AC168" s="113"/>
      <c r="AD168" s="113"/>
      <c r="AE168" s="113"/>
      <c r="AF168" s="113"/>
      <c r="AG168" s="113"/>
      <c r="AH168" s="113"/>
      <c r="AI168" s="113"/>
      <c r="AJ168" s="114"/>
      <c r="AK168" s="50"/>
      <c r="AL168" s="50"/>
      <c r="AM168" s="84"/>
      <c r="AN168" s="85"/>
      <c r="AO168" s="85"/>
      <c r="AP168" s="85"/>
      <c r="AQ168" s="84"/>
      <c r="AR168" s="85"/>
      <c r="AS168" s="85"/>
      <c r="AT168" s="85"/>
      <c r="AU168" s="84"/>
      <c r="AV168" s="85"/>
      <c r="AW168" s="85"/>
      <c r="AX168" s="87"/>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2" t="s">
        <v>34</v>
      </c>
      <c r="E171" s="172"/>
      <c r="F171" s="172"/>
      <c r="G171" s="172"/>
      <c r="H171" s="172"/>
      <c r="I171" s="172"/>
      <c r="J171" s="172"/>
      <c r="K171" s="172"/>
      <c r="L171" s="172"/>
      <c r="M171" s="173"/>
      <c r="N171" s="97" t="str">
        <f>IF([6]回答表!BD17="○",IF([6]回答表!AD43="○","○",""),"")</f>
        <v/>
      </c>
      <c r="O171" s="98"/>
      <c r="P171" s="98"/>
      <c r="Q171" s="99"/>
      <c r="R171" s="39"/>
      <c r="S171" s="39"/>
      <c r="T171" s="39"/>
      <c r="U171" s="106" t="str">
        <f>IF([6]回答表!BD17="○",IF([6]回答表!AD43="○",[6]回答表!B249,""),"")</f>
        <v/>
      </c>
      <c r="V171" s="107"/>
      <c r="W171" s="107"/>
      <c r="X171" s="107"/>
      <c r="Y171" s="107"/>
      <c r="Z171" s="107"/>
      <c r="AA171" s="107"/>
      <c r="AB171" s="107"/>
      <c r="AC171" s="107"/>
      <c r="AD171" s="107"/>
      <c r="AE171" s="107"/>
      <c r="AF171" s="107"/>
      <c r="AG171" s="107"/>
      <c r="AH171" s="107"/>
      <c r="AI171" s="107"/>
      <c r="AJ171" s="108"/>
      <c r="AK171" s="56"/>
      <c r="AL171" s="56"/>
      <c r="AM171" s="106" t="str">
        <f>IF([6]回答表!BD17="○",IF([6]回答表!AD43="○",[6]回答表!B255,""),"")</f>
        <v/>
      </c>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8"/>
      <c r="BQ171" s="38"/>
    </row>
    <row r="172" spans="1:70" ht="15.6" customHeight="1" x14ac:dyDescent="0.4">
      <c r="C172" s="33"/>
      <c r="D172" s="172"/>
      <c r="E172" s="172"/>
      <c r="F172" s="172"/>
      <c r="G172" s="172"/>
      <c r="H172" s="172"/>
      <c r="I172" s="172"/>
      <c r="J172" s="172"/>
      <c r="K172" s="172"/>
      <c r="L172" s="172"/>
      <c r="M172" s="173"/>
      <c r="N172" s="100"/>
      <c r="O172" s="101"/>
      <c r="P172" s="101"/>
      <c r="Q172" s="102"/>
      <c r="R172" s="39"/>
      <c r="S172" s="39"/>
      <c r="T172" s="39"/>
      <c r="U172" s="109"/>
      <c r="V172" s="110"/>
      <c r="W172" s="110"/>
      <c r="X172" s="110"/>
      <c r="Y172" s="110"/>
      <c r="Z172" s="110"/>
      <c r="AA172" s="110"/>
      <c r="AB172" s="110"/>
      <c r="AC172" s="110"/>
      <c r="AD172" s="110"/>
      <c r="AE172" s="110"/>
      <c r="AF172" s="110"/>
      <c r="AG172" s="110"/>
      <c r="AH172" s="110"/>
      <c r="AI172" s="110"/>
      <c r="AJ172" s="111"/>
      <c r="AK172" s="56"/>
      <c r="AL172" s="56"/>
      <c r="AM172" s="109"/>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1"/>
      <c r="BQ172" s="38"/>
    </row>
    <row r="173" spans="1:70" ht="15.6" customHeight="1" x14ac:dyDescent="0.4">
      <c r="C173" s="33"/>
      <c r="D173" s="172"/>
      <c r="E173" s="172"/>
      <c r="F173" s="172"/>
      <c r="G173" s="172"/>
      <c r="H173" s="172"/>
      <c r="I173" s="172"/>
      <c r="J173" s="172"/>
      <c r="K173" s="172"/>
      <c r="L173" s="172"/>
      <c r="M173" s="173"/>
      <c r="N173" s="100"/>
      <c r="O173" s="101"/>
      <c r="P173" s="101"/>
      <c r="Q173" s="102"/>
      <c r="R173" s="39"/>
      <c r="S173" s="39"/>
      <c r="T173" s="39"/>
      <c r="U173" s="109"/>
      <c r="V173" s="110"/>
      <c r="W173" s="110"/>
      <c r="X173" s="110"/>
      <c r="Y173" s="110"/>
      <c r="Z173" s="110"/>
      <c r="AA173" s="110"/>
      <c r="AB173" s="110"/>
      <c r="AC173" s="110"/>
      <c r="AD173" s="110"/>
      <c r="AE173" s="110"/>
      <c r="AF173" s="110"/>
      <c r="AG173" s="110"/>
      <c r="AH173" s="110"/>
      <c r="AI173" s="110"/>
      <c r="AJ173" s="111"/>
      <c r="AK173" s="56"/>
      <c r="AL173" s="56"/>
      <c r="AM173" s="109"/>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1"/>
      <c r="BQ173" s="38"/>
    </row>
    <row r="174" spans="1:70" ht="15.6" customHeight="1" x14ac:dyDescent="0.4">
      <c r="C174" s="33"/>
      <c r="D174" s="172"/>
      <c r="E174" s="172"/>
      <c r="F174" s="172"/>
      <c r="G174" s="172"/>
      <c r="H174" s="172"/>
      <c r="I174" s="172"/>
      <c r="J174" s="172"/>
      <c r="K174" s="172"/>
      <c r="L174" s="172"/>
      <c r="M174" s="173"/>
      <c r="N174" s="103"/>
      <c r="O174" s="104"/>
      <c r="P174" s="104"/>
      <c r="Q174" s="105"/>
      <c r="R174" s="39"/>
      <c r="S174" s="39"/>
      <c r="T174" s="39"/>
      <c r="U174" s="112"/>
      <c r="V174" s="113"/>
      <c r="W174" s="113"/>
      <c r="X174" s="113"/>
      <c r="Y174" s="113"/>
      <c r="Z174" s="113"/>
      <c r="AA174" s="113"/>
      <c r="AB174" s="113"/>
      <c r="AC174" s="113"/>
      <c r="AD174" s="113"/>
      <c r="AE174" s="113"/>
      <c r="AF174" s="113"/>
      <c r="AG174" s="113"/>
      <c r="AH174" s="113"/>
      <c r="AI174" s="113"/>
      <c r="AJ174" s="114"/>
      <c r="AK174" s="56"/>
      <c r="AL174" s="56"/>
      <c r="AM174" s="112"/>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4"/>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3"/>
      <c r="AS177" s="153"/>
      <c r="AT177" s="153"/>
      <c r="AU177" s="153"/>
      <c r="AV177" s="153"/>
      <c r="AW177" s="153"/>
      <c r="AX177" s="153"/>
      <c r="AY177" s="153"/>
      <c r="AZ177" s="153"/>
      <c r="BA177" s="153"/>
      <c r="BB177" s="153"/>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78"/>
      <c r="AS178" s="178"/>
      <c r="AT178" s="178"/>
      <c r="AU178" s="178"/>
      <c r="AV178" s="178"/>
      <c r="AW178" s="178"/>
      <c r="AX178" s="178"/>
      <c r="AY178" s="178"/>
      <c r="AZ178" s="178"/>
      <c r="BA178" s="178"/>
      <c r="BB178" s="178"/>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28" t="s">
        <v>14</v>
      </c>
      <c r="E179" s="129"/>
      <c r="F179" s="129"/>
      <c r="G179" s="129"/>
      <c r="H179" s="129"/>
      <c r="I179" s="129"/>
      <c r="J179" s="129"/>
      <c r="K179" s="129"/>
      <c r="L179" s="129"/>
      <c r="M179" s="129"/>
      <c r="N179" s="129"/>
      <c r="O179" s="129"/>
      <c r="P179" s="129"/>
      <c r="Q179" s="130"/>
      <c r="R179" s="88" t="s">
        <v>54</v>
      </c>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90"/>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1"/>
      <c r="E180" s="132"/>
      <c r="F180" s="132"/>
      <c r="G180" s="132"/>
      <c r="H180" s="132"/>
      <c r="I180" s="132"/>
      <c r="J180" s="132"/>
      <c r="K180" s="132"/>
      <c r="L180" s="132"/>
      <c r="M180" s="132"/>
      <c r="N180" s="132"/>
      <c r="O180" s="132"/>
      <c r="P180" s="132"/>
      <c r="Q180" s="133"/>
      <c r="R180" s="94"/>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6"/>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2" t="s">
        <v>18</v>
      </c>
      <c r="E183" s="172"/>
      <c r="F183" s="172"/>
      <c r="G183" s="172"/>
      <c r="H183" s="172"/>
      <c r="I183" s="172"/>
      <c r="J183" s="172"/>
      <c r="K183" s="172"/>
      <c r="L183" s="172"/>
      <c r="M183" s="172"/>
      <c r="N183" s="97" t="str">
        <f>IF([6]回答表!X44="○","○","")</f>
        <v/>
      </c>
      <c r="O183" s="98"/>
      <c r="P183" s="98"/>
      <c r="Q183" s="99"/>
      <c r="R183" s="39"/>
      <c r="S183" s="39"/>
      <c r="T183" s="39"/>
      <c r="U183" s="106" t="str">
        <f>IF([6]回答表!X44="○",[6]回答表!B266,IF([6]回答表!AA44="○",[6]回答表!B283,""))</f>
        <v/>
      </c>
      <c r="V183" s="107"/>
      <c r="W183" s="107"/>
      <c r="X183" s="107"/>
      <c r="Y183" s="107"/>
      <c r="Z183" s="107"/>
      <c r="AA183" s="107"/>
      <c r="AB183" s="107"/>
      <c r="AC183" s="107"/>
      <c r="AD183" s="107"/>
      <c r="AE183" s="107"/>
      <c r="AF183" s="107"/>
      <c r="AG183" s="107"/>
      <c r="AH183" s="107"/>
      <c r="AI183" s="107"/>
      <c r="AJ183" s="108"/>
      <c r="AK183" s="50"/>
      <c r="AL183" s="50"/>
      <c r="AM183" s="134" t="s">
        <v>56</v>
      </c>
      <c r="AN183" s="135"/>
      <c r="AO183" s="135"/>
      <c r="AP183" s="135"/>
      <c r="AQ183" s="135"/>
      <c r="AR183" s="135"/>
      <c r="AS183" s="135"/>
      <c r="AT183" s="136"/>
      <c r="AU183" s="134" t="s">
        <v>57</v>
      </c>
      <c r="AV183" s="135"/>
      <c r="AW183" s="135"/>
      <c r="AX183" s="135"/>
      <c r="AY183" s="135"/>
      <c r="AZ183" s="135"/>
      <c r="BA183" s="135"/>
      <c r="BB183" s="136"/>
      <c r="BC183" s="40"/>
      <c r="BD183" s="35"/>
      <c r="BE183" s="115" t="str">
        <f>IF([6]回答表!X44="○",[6]回答表!U272,IF([6]回答表!AA44="○",[6]回答表!U289,""))</f>
        <v/>
      </c>
      <c r="BF183" s="116"/>
      <c r="BG183" s="116"/>
      <c r="BH183" s="116"/>
      <c r="BI183" s="115"/>
      <c r="BJ183" s="116"/>
      <c r="BK183" s="116"/>
      <c r="BL183" s="116"/>
      <c r="BM183" s="115"/>
      <c r="BN183" s="116"/>
      <c r="BO183" s="116"/>
      <c r="BP183" s="117"/>
      <c r="BQ183" s="38"/>
      <c r="BR183" s="25"/>
    </row>
    <row r="184" spans="3:70" ht="15.6" customHeight="1" x14ac:dyDescent="0.4">
      <c r="C184" s="33"/>
      <c r="D184" s="172"/>
      <c r="E184" s="172"/>
      <c r="F184" s="172"/>
      <c r="G184" s="172"/>
      <c r="H184" s="172"/>
      <c r="I184" s="172"/>
      <c r="J184" s="172"/>
      <c r="K184" s="172"/>
      <c r="L184" s="172"/>
      <c r="M184" s="172"/>
      <c r="N184" s="100"/>
      <c r="O184" s="101"/>
      <c r="P184" s="101"/>
      <c r="Q184" s="102"/>
      <c r="R184" s="39"/>
      <c r="S184" s="39"/>
      <c r="T184" s="39"/>
      <c r="U184" s="109"/>
      <c r="V184" s="110"/>
      <c r="W184" s="110"/>
      <c r="X184" s="110"/>
      <c r="Y184" s="110"/>
      <c r="Z184" s="110"/>
      <c r="AA184" s="110"/>
      <c r="AB184" s="110"/>
      <c r="AC184" s="110"/>
      <c r="AD184" s="110"/>
      <c r="AE184" s="110"/>
      <c r="AF184" s="110"/>
      <c r="AG184" s="110"/>
      <c r="AH184" s="110"/>
      <c r="AI184" s="110"/>
      <c r="AJ184" s="111"/>
      <c r="AK184" s="50"/>
      <c r="AL184" s="50"/>
      <c r="AM184" s="174"/>
      <c r="AN184" s="175"/>
      <c r="AO184" s="175"/>
      <c r="AP184" s="175"/>
      <c r="AQ184" s="175"/>
      <c r="AR184" s="175"/>
      <c r="AS184" s="175"/>
      <c r="AT184" s="176"/>
      <c r="AU184" s="174"/>
      <c r="AV184" s="175"/>
      <c r="AW184" s="175"/>
      <c r="AX184" s="175"/>
      <c r="AY184" s="175"/>
      <c r="AZ184" s="175"/>
      <c r="BA184" s="175"/>
      <c r="BB184" s="176"/>
      <c r="BC184" s="40"/>
      <c r="BD184" s="35"/>
      <c r="BE184" s="82"/>
      <c r="BF184" s="83"/>
      <c r="BG184" s="83"/>
      <c r="BH184" s="83"/>
      <c r="BI184" s="82"/>
      <c r="BJ184" s="83"/>
      <c r="BK184" s="83"/>
      <c r="BL184" s="83"/>
      <c r="BM184" s="82"/>
      <c r="BN184" s="83"/>
      <c r="BO184" s="83"/>
      <c r="BP184" s="86"/>
      <c r="BQ184" s="38"/>
      <c r="BR184" s="25"/>
    </row>
    <row r="185" spans="3:70" ht="15.6" customHeight="1" x14ac:dyDescent="0.4">
      <c r="C185" s="33"/>
      <c r="D185" s="172"/>
      <c r="E185" s="172"/>
      <c r="F185" s="172"/>
      <c r="G185" s="172"/>
      <c r="H185" s="172"/>
      <c r="I185" s="172"/>
      <c r="J185" s="172"/>
      <c r="K185" s="172"/>
      <c r="L185" s="172"/>
      <c r="M185" s="172"/>
      <c r="N185" s="100"/>
      <c r="O185" s="101"/>
      <c r="P185" s="101"/>
      <c r="Q185" s="102"/>
      <c r="R185" s="39"/>
      <c r="S185" s="39"/>
      <c r="T185" s="39"/>
      <c r="U185" s="109"/>
      <c r="V185" s="110"/>
      <c r="W185" s="110"/>
      <c r="X185" s="110"/>
      <c r="Y185" s="110"/>
      <c r="Z185" s="110"/>
      <c r="AA185" s="110"/>
      <c r="AB185" s="110"/>
      <c r="AC185" s="110"/>
      <c r="AD185" s="110"/>
      <c r="AE185" s="110"/>
      <c r="AF185" s="110"/>
      <c r="AG185" s="110"/>
      <c r="AH185" s="110"/>
      <c r="AI185" s="110"/>
      <c r="AJ185" s="111"/>
      <c r="AK185" s="50"/>
      <c r="AL185" s="50"/>
      <c r="AM185" s="137"/>
      <c r="AN185" s="138"/>
      <c r="AO185" s="138"/>
      <c r="AP185" s="138"/>
      <c r="AQ185" s="138"/>
      <c r="AR185" s="138"/>
      <c r="AS185" s="138"/>
      <c r="AT185" s="139"/>
      <c r="AU185" s="137"/>
      <c r="AV185" s="138"/>
      <c r="AW185" s="138"/>
      <c r="AX185" s="138"/>
      <c r="AY185" s="138"/>
      <c r="AZ185" s="138"/>
      <c r="BA185" s="138"/>
      <c r="BB185" s="139"/>
      <c r="BC185" s="40"/>
      <c r="BD185" s="35"/>
      <c r="BE185" s="82"/>
      <c r="BF185" s="83"/>
      <c r="BG185" s="83"/>
      <c r="BH185" s="83"/>
      <c r="BI185" s="82"/>
      <c r="BJ185" s="83"/>
      <c r="BK185" s="83"/>
      <c r="BL185" s="83"/>
      <c r="BM185" s="82"/>
      <c r="BN185" s="83"/>
      <c r="BO185" s="83"/>
      <c r="BP185" s="86"/>
      <c r="BQ185" s="38"/>
      <c r="BR185" s="25"/>
    </row>
    <row r="186" spans="3:70" ht="15.6" customHeight="1" x14ac:dyDescent="0.4">
      <c r="C186" s="33"/>
      <c r="D186" s="172"/>
      <c r="E186" s="172"/>
      <c r="F186" s="172"/>
      <c r="G186" s="172"/>
      <c r="H186" s="172"/>
      <c r="I186" s="172"/>
      <c r="J186" s="172"/>
      <c r="K186" s="172"/>
      <c r="L186" s="172"/>
      <c r="M186" s="172"/>
      <c r="N186" s="103"/>
      <c r="O186" s="104"/>
      <c r="P186" s="104"/>
      <c r="Q186" s="105"/>
      <c r="R186" s="39"/>
      <c r="S186" s="39"/>
      <c r="T186" s="39"/>
      <c r="U186" s="109"/>
      <c r="V186" s="110"/>
      <c r="W186" s="110"/>
      <c r="X186" s="110"/>
      <c r="Y186" s="110"/>
      <c r="Z186" s="110"/>
      <c r="AA186" s="110"/>
      <c r="AB186" s="110"/>
      <c r="AC186" s="110"/>
      <c r="AD186" s="110"/>
      <c r="AE186" s="110"/>
      <c r="AF186" s="110"/>
      <c r="AG186" s="110"/>
      <c r="AH186" s="110"/>
      <c r="AI186" s="110"/>
      <c r="AJ186" s="111"/>
      <c r="AK186" s="50"/>
      <c r="AL186" s="50"/>
      <c r="AM186" s="118" t="str">
        <f>IF([6]回答表!X44="○",[6]回答表!G272,IF([6]回答表!AA44="○",[6]回答表!G289,""))</f>
        <v/>
      </c>
      <c r="AN186" s="119"/>
      <c r="AO186" s="119"/>
      <c r="AP186" s="119"/>
      <c r="AQ186" s="119"/>
      <c r="AR186" s="119"/>
      <c r="AS186" s="119"/>
      <c r="AT186" s="120"/>
      <c r="AU186" s="118" t="str">
        <f>IF([6]回答表!X44="○",[6]回答表!G273,IF([6]回答表!AA44="○",[6]回答表!G290,""))</f>
        <v/>
      </c>
      <c r="AV186" s="119"/>
      <c r="AW186" s="119"/>
      <c r="AX186" s="119"/>
      <c r="AY186" s="119"/>
      <c r="AZ186" s="119"/>
      <c r="BA186" s="119"/>
      <c r="BB186" s="120"/>
      <c r="BC186" s="40"/>
      <c r="BD186" s="35"/>
      <c r="BE186" s="82" t="str">
        <f>IF([6]回答表!X44="○",[6]回答表!X272,IF([6]回答表!AA44="○",[6]回答表!X289,""))</f>
        <v/>
      </c>
      <c r="BF186" s="83"/>
      <c r="BG186" s="83"/>
      <c r="BH186" s="83"/>
      <c r="BI186" s="82" t="str">
        <f>IF([6]回答表!X44="○",[6]回答表!X273,IF([6]回答表!AA44="○",[6]回答表!X290,""))</f>
        <v/>
      </c>
      <c r="BJ186" s="83"/>
      <c r="BK186" s="83"/>
      <c r="BL186" s="86"/>
      <c r="BM186" s="82" t="str">
        <f>IF([6]回答表!X44="○",[6]回答表!X274,IF([6]回答表!AA44="○",[6]回答表!X291,""))</f>
        <v/>
      </c>
      <c r="BN186" s="83"/>
      <c r="BO186" s="83"/>
      <c r="BP186" s="86"/>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09"/>
      <c r="V187" s="110"/>
      <c r="W187" s="110"/>
      <c r="X187" s="110"/>
      <c r="Y187" s="110"/>
      <c r="Z187" s="110"/>
      <c r="AA187" s="110"/>
      <c r="AB187" s="110"/>
      <c r="AC187" s="110"/>
      <c r="AD187" s="110"/>
      <c r="AE187" s="110"/>
      <c r="AF187" s="110"/>
      <c r="AG187" s="110"/>
      <c r="AH187" s="110"/>
      <c r="AI187" s="110"/>
      <c r="AJ187" s="111"/>
      <c r="AK187" s="50"/>
      <c r="AL187" s="50"/>
      <c r="AM187" s="121"/>
      <c r="AN187" s="122"/>
      <c r="AO187" s="122"/>
      <c r="AP187" s="122"/>
      <c r="AQ187" s="122"/>
      <c r="AR187" s="122"/>
      <c r="AS187" s="122"/>
      <c r="AT187" s="123"/>
      <c r="AU187" s="121"/>
      <c r="AV187" s="122"/>
      <c r="AW187" s="122"/>
      <c r="AX187" s="122"/>
      <c r="AY187" s="122"/>
      <c r="AZ187" s="122"/>
      <c r="BA187" s="122"/>
      <c r="BB187" s="123"/>
      <c r="BC187" s="40"/>
      <c r="BD187" s="40"/>
      <c r="BE187" s="82"/>
      <c r="BF187" s="83"/>
      <c r="BG187" s="83"/>
      <c r="BH187" s="83"/>
      <c r="BI187" s="82"/>
      <c r="BJ187" s="83"/>
      <c r="BK187" s="83"/>
      <c r="BL187" s="86"/>
      <c r="BM187" s="82"/>
      <c r="BN187" s="83"/>
      <c r="BO187" s="83"/>
      <c r="BP187" s="86"/>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09"/>
      <c r="V188" s="110"/>
      <c r="W188" s="110"/>
      <c r="X188" s="110"/>
      <c r="Y188" s="110"/>
      <c r="Z188" s="110"/>
      <c r="AA188" s="110"/>
      <c r="AB188" s="110"/>
      <c r="AC188" s="110"/>
      <c r="AD188" s="110"/>
      <c r="AE188" s="110"/>
      <c r="AF188" s="110"/>
      <c r="AG188" s="110"/>
      <c r="AH188" s="110"/>
      <c r="AI188" s="110"/>
      <c r="AJ188" s="111"/>
      <c r="AK188" s="50"/>
      <c r="AL188" s="50"/>
      <c r="AM188" s="124"/>
      <c r="AN188" s="125"/>
      <c r="AO188" s="125"/>
      <c r="AP188" s="125"/>
      <c r="AQ188" s="125"/>
      <c r="AR188" s="125"/>
      <c r="AS188" s="125"/>
      <c r="AT188" s="126"/>
      <c r="AU188" s="124"/>
      <c r="AV188" s="125"/>
      <c r="AW188" s="125"/>
      <c r="AX188" s="125"/>
      <c r="AY188" s="125"/>
      <c r="AZ188" s="125"/>
      <c r="BA188" s="125"/>
      <c r="BB188" s="126"/>
      <c r="BC188" s="40"/>
      <c r="BD188" s="35"/>
      <c r="BE188" s="82"/>
      <c r="BF188" s="83"/>
      <c r="BG188" s="83"/>
      <c r="BH188" s="83"/>
      <c r="BI188" s="82"/>
      <c r="BJ188" s="83"/>
      <c r="BK188" s="83"/>
      <c r="BL188" s="86"/>
      <c r="BM188" s="82"/>
      <c r="BN188" s="83"/>
      <c r="BO188" s="83"/>
      <c r="BP188" s="86"/>
      <c r="BQ188" s="38"/>
      <c r="BR188" s="25"/>
    </row>
    <row r="189" spans="3:70" ht="15.6" customHeight="1" x14ac:dyDescent="0.4">
      <c r="C189" s="33"/>
      <c r="D189" s="177" t="s">
        <v>26</v>
      </c>
      <c r="E189" s="172"/>
      <c r="F189" s="172"/>
      <c r="G189" s="172"/>
      <c r="H189" s="172"/>
      <c r="I189" s="172"/>
      <c r="J189" s="172"/>
      <c r="K189" s="172"/>
      <c r="L189" s="172"/>
      <c r="M189" s="173"/>
      <c r="N189" s="97" t="str">
        <f>IF([6]回答表!AA44="○","○","")</f>
        <v/>
      </c>
      <c r="O189" s="98"/>
      <c r="P189" s="98"/>
      <c r="Q189" s="99"/>
      <c r="R189" s="39"/>
      <c r="S189" s="39"/>
      <c r="T189" s="39"/>
      <c r="U189" s="109"/>
      <c r="V189" s="110"/>
      <c r="W189" s="110"/>
      <c r="X189" s="110"/>
      <c r="Y189" s="110"/>
      <c r="Z189" s="110"/>
      <c r="AA189" s="110"/>
      <c r="AB189" s="110"/>
      <c r="AC189" s="110"/>
      <c r="AD189" s="110"/>
      <c r="AE189" s="110"/>
      <c r="AF189" s="110"/>
      <c r="AG189" s="110"/>
      <c r="AH189" s="110"/>
      <c r="AI189" s="110"/>
      <c r="AJ189" s="111"/>
      <c r="AK189" s="50"/>
      <c r="AL189" s="50"/>
      <c r="AM189" s="35"/>
      <c r="AN189" s="35"/>
      <c r="AO189" s="35"/>
      <c r="AP189" s="35"/>
      <c r="AQ189" s="35"/>
      <c r="AR189" s="35"/>
      <c r="AS189" s="35"/>
      <c r="AT189" s="35"/>
      <c r="AU189" s="35"/>
      <c r="AV189" s="35"/>
      <c r="AW189" s="35"/>
      <c r="AX189" s="35"/>
      <c r="AY189" s="35"/>
      <c r="AZ189" s="35"/>
      <c r="BA189" s="35"/>
      <c r="BB189" s="35"/>
      <c r="BC189" s="40"/>
      <c r="BD189" s="54"/>
      <c r="BE189" s="82"/>
      <c r="BF189" s="83"/>
      <c r="BG189" s="83"/>
      <c r="BH189" s="83"/>
      <c r="BI189" s="82"/>
      <c r="BJ189" s="83"/>
      <c r="BK189" s="83"/>
      <c r="BL189" s="86"/>
      <c r="BM189" s="82"/>
      <c r="BN189" s="83"/>
      <c r="BO189" s="83"/>
      <c r="BP189" s="86"/>
      <c r="BQ189" s="38"/>
      <c r="BR189" s="25"/>
    </row>
    <row r="190" spans="3:70" ht="15.6" customHeight="1" x14ac:dyDescent="0.4">
      <c r="C190" s="33"/>
      <c r="D190" s="172"/>
      <c r="E190" s="172"/>
      <c r="F190" s="172"/>
      <c r="G190" s="172"/>
      <c r="H190" s="172"/>
      <c r="I190" s="172"/>
      <c r="J190" s="172"/>
      <c r="K190" s="172"/>
      <c r="L190" s="172"/>
      <c r="M190" s="173"/>
      <c r="N190" s="100"/>
      <c r="O190" s="101"/>
      <c r="P190" s="101"/>
      <c r="Q190" s="102"/>
      <c r="R190" s="39"/>
      <c r="S190" s="39"/>
      <c r="T190" s="39"/>
      <c r="U190" s="109"/>
      <c r="V190" s="110"/>
      <c r="W190" s="110"/>
      <c r="X190" s="110"/>
      <c r="Y190" s="110"/>
      <c r="Z190" s="110"/>
      <c r="AA190" s="110"/>
      <c r="AB190" s="110"/>
      <c r="AC190" s="110"/>
      <c r="AD190" s="110"/>
      <c r="AE190" s="110"/>
      <c r="AF190" s="110"/>
      <c r="AG190" s="110"/>
      <c r="AH190" s="110"/>
      <c r="AI190" s="110"/>
      <c r="AJ190" s="111"/>
      <c r="AK190" s="50"/>
      <c r="AL190" s="50"/>
      <c r="AM190" s="35"/>
      <c r="AN190" s="35"/>
      <c r="AO190" s="35"/>
      <c r="AP190" s="35"/>
      <c r="AQ190" s="35"/>
      <c r="AR190" s="35"/>
      <c r="AS190" s="35"/>
      <c r="AT190" s="35"/>
      <c r="AU190" s="35"/>
      <c r="AV190" s="35"/>
      <c r="AW190" s="35"/>
      <c r="AX190" s="35"/>
      <c r="AY190" s="35"/>
      <c r="AZ190" s="35"/>
      <c r="BA190" s="35"/>
      <c r="BB190" s="35"/>
      <c r="BC190" s="40"/>
      <c r="BD190" s="54"/>
      <c r="BE190" s="82" t="s">
        <v>23</v>
      </c>
      <c r="BF190" s="83"/>
      <c r="BG190" s="83"/>
      <c r="BH190" s="83"/>
      <c r="BI190" s="82" t="s">
        <v>24</v>
      </c>
      <c r="BJ190" s="83"/>
      <c r="BK190" s="83"/>
      <c r="BL190" s="83"/>
      <c r="BM190" s="82" t="s">
        <v>25</v>
      </c>
      <c r="BN190" s="83"/>
      <c r="BO190" s="83"/>
      <c r="BP190" s="86"/>
      <c r="BQ190" s="38"/>
      <c r="BR190" s="25"/>
    </row>
    <row r="191" spans="3:70" ht="15.6" customHeight="1" x14ac:dyDescent="0.4">
      <c r="C191" s="33"/>
      <c r="D191" s="172"/>
      <c r="E191" s="172"/>
      <c r="F191" s="172"/>
      <c r="G191" s="172"/>
      <c r="H191" s="172"/>
      <c r="I191" s="172"/>
      <c r="J191" s="172"/>
      <c r="K191" s="172"/>
      <c r="L191" s="172"/>
      <c r="M191" s="173"/>
      <c r="N191" s="100"/>
      <c r="O191" s="101"/>
      <c r="P191" s="101"/>
      <c r="Q191" s="102"/>
      <c r="R191" s="39"/>
      <c r="S191" s="39"/>
      <c r="T191" s="39"/>
      <c r="U191" s="109"/>
      <c r="V191" s="110"/>
      <c r="W191" s="110"/>
      <c r="X191" s="110"/>
      <c r="Y191" s="110"/>
      <c r="Z191" s="110"/>
      <c r="AA191" s="110"/>
      <c r="AB191" s="110"/>
      <c r="AC191" s="110"/>
      <c r="AD191" s="110"/>
      <c r="AE191" s="110"/>
      <c r="AF191" s="110"/>
      <c r="AG191" s="110"/>
      <c r="AH191" s="110"/>
      <c r="AI191" s="110"/>
      <c r="AJ191" s="111"/>
      <c r="AK191" s="50"/>
      <c r="AL191" s="50"/>
      <c r="AM191" s="35"/>
      <c r="AN191" s="35"/>
      <c r="AO191" s="35"/>
      <c r="AP191" s="35"/>
      <c r="AQ191" s="35"/>
      <c r="AR191" s="35"/>
      <c r="AS191" s="35"/>
      <c r="AT191" s="35"/>
      <c r="AU191" s="35"/>
      <c r="AV191" s="35"/>
      <c r="AW191" s="35"/>
      <c r="AX191" s="35"/>
      <c r="AY191" s="35"/>
      <c r="AZ191" s="35"/>
      <c r="BA191" s="35"/>
      <c r="BB191" s="35"/>
      <c r="BC191" s="40"/>
      <c r="BD191" s="54"/>
      <c r="BE191" s="82"/>
      <c r="BF191" s="83"/>
      <c r="BG191" s="83"/>
      <c r="BH191" s="83"/>
      <c r="BI191" s="82"/>
      <c r="BJ191" s="83"/>
      <c r="BK191" s="83"/>
      <c r="BL191" s="83"/>
      <c r="BM191" s="82"/>
      <c r="BN191" s="83"/>
      <c r="BO191" s="83"/>
      <c r="BP191" s="86"/>
      <c r="BQ191" s="38"/>
      <c r="BR191" s="25"/>
    </row>
    <row r="192" spans="3:70" ht="15.6" customHeight="1" x14ac:dyDescent="0.4">
      <c r="C192" s="33"/>
      <c r="D192" s="172"/>
      <c r="E192" s="172"/>
      <c r="F192" s="172"/>
      <c r="G192" s="172"/>
      <c r="H192" s="172"/>
      <c r="I192" s="172"/>
      <c r="J192" s="172"/>
      <c r="K192" s="172"/>
      <c r="L192" s="172"/>
      <c r="M192" s="173"/>
      <c r="N192" s="103"/>
      <c r="O192" s="104"/>
      <c r="P192" s="104"/>
      <c r="Q192" s="105"/>
      <c r="R192" s="39"/>
      <c r="S192" s="39"/>
      <c r="T192" s="39"/>
      <c r="U192" s="112"/>
      <c r="V192" s="113"/>
      <c r="W192" s="113"/>
      <c r="X192" s="113"/>
      <c r="Y192" s="113"/>
      <c r="Z192" s="113"/>
      <c r="AA192" s="113"/>
      <c r="AB192" s="113"/>
      <c r="AC192" s="113"/>
      <c r="AD192" s="113"/>
      <c r="AE192" s="113"/>
      <c r="AF192" s="113"/>
      <c r="AG192" s="113"/>
      <c r="AH192" s="113"/>
      <c r="AI192" s="113"/>
      <c r="AJ192" s="114"/>
      <c r="AK192" s="50"/>
      <c r="AL192" s="50"/>
      <c r="AM192" s="35"/>
      <c r="AN192" s="35"/>
      <c r="AO192" s="35"/>
      <c r="AP192" s="35"/>
      <c r="AQ192" s="35"/>
      <c r="AR192" s="35"/>
      <c r="AS192" s="35"/>
      <c r="AT192" s="35"/>
      <c r="AU192" s="35"/>
      <c r="AV192" s="35"/>
      <c r="AW192" s="35"/>
      <c r="AX192" s="35"/>
      <c r="AY192" s="35"/>
      <c r="AZ192" s="35"/>
      <c r="BA192" s="35"/>
      <c r="BB192" s="35"/>
      <c r="BC192" s="40"/>
      <c r="BD192" s="54"/>
      <c r="BE192" s="84"/>
      <c r="BF192" s="85"/>
      <c r="BG192" s="85"/>
      <c r="BH192" s="85"/>
      <c r="BI192" s="84"/>
      <c r="BJ192" s="85"/>
      <c r="BK192" s="85"/>
      <c r="BL192" s="85"/>
      <c r="BM192" s="84"/>
      <c r="BN192" s="85"/>
      <c r="BO192" s="85"/>
      <c r="BP192" s="87"/>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2" t="s">
        <v>34</v>
      </c>
      <c r="E195" s="172"/>
      <c r="F195" s="172"/>
      <c r="G195" s="172"/>
      <c r="H195" s="172"/>
      <c r="I195" s="172"/>
      <c r="J195" s="172"/>
      <c r="K195" s="172"/>
      <c r="L195" s="172"/>
      <c r="M195" s="173"/>
      <c r="N195" s="97" t="str">
        <f>IF([6]回答表!AD44="○","○","")</f>
        <v/>
      </c>
      <c r="O195" s="98"/>
      <c r="P195" s="98"/>
      <c r="Q195" s="99"/>
      <c r="R195" s="39"/>
      <c r="S195" s="39"/>
      <c r="T195" s="39"/>
      <c r="U195" s="106" t="str">
        <f>IF([6]回答表!AD44="○",[6]回答表!B296,"")</f>
        <v/>
      </c>
      <c r="V195" s="107"/>
      <c r="W195" s="107"/>
      <c r="X195" s="107"/>
      <c r="Y195" s="107"/>
      <c r="Z195" s="107"/>
      <c r="AA195" s="107"/>
      <c r="AB195" s="107"/>
      <c r="AC195" s="107"/>
      <c r="AD195" s="107"/>
      <c r="AE195" s="107"/>
      <c r="AF195" s="107"/>
      <c r="AG195" s="107"/>
      <c r="AH195" s="107"/>
      <c r="AI195" s="107"/>
      <c r="AJ195" s="108"/>
      <c r="AK195" s="61"/>
      <c r="AL195" s="61"/>
      <c r="AM195" s="106" t="str">
        <f>IF([6]回答表!AD44="○",[6]回答表!B302,"")</f>
        <v/>
      </c>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8"/>
      <c r="BQ195" s="38"/>
      <c r="BR195" s="25"/>
    </row>
    <row r="196" spans="1:70" ht="15.6" customHeight="1" x14ac:dyDescent="0.4">
      <c r="C196" s="33"/>
      <c r="D196" s="172"/>
      <c r="E196" s="172"/>
      <c r="F196" s="172"/>
      <c r="G196" s="172"/>
      <c r="H196" s="172"/>
      <c r="I196" s="172"/>
      <c r="J196" s="172"/>
      <c r="K196" s="172"/>
      <c r="L196" s="172"/>
      <c r="M196" s="173"/>
      <c r="N196" s="100"/>
      <c r="O196" s="101"/>
      <c r="P196" s="101"/>
      <c r="Q196" s="102"/>
      <c r="R196" s="39"/>
      <c r="S196" s="39"/>
      <c r="T196" s="39"/>
      <c r="U196" s="109"/>
      <c r="V196" s="110"/>
      <c r="W196" s="110"/>
      <c r="X196" s="110"/>
      <c r="Y196" s="110"/>
      <c r="Z196" s="110"/>
      <c r="AA196" s="110"/>
      <c r="AB196" s="110"/>
      <c r="AC196" s="110"/>
      <c r="AD196" s="110"/>
      <c r="AE196" s="110"/>
      <c r="AF196" s="110"/>
      <c r="AG196" s="110"/>
      <c r="AH196" s="110"/>
      <c r="AI196" s="110"/>
      <c r="AJ196" s="111"/>
      <c r="AK196" s="61"/>
      <c r="AL196" s="61"/>
      <c r="AM196" s="109"/>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1"/>
      <c r="BQ196" s="38"/>
      <c r="BR196" s="25"/>
    </row>
    <row r="197" spans="1:70" ht="15.6" customHeight="1" x14ac:dyDescent="0.4">
      <c r="C197" s="33"/>
      <c r="D197" s="172"/>
      <c r="E197" s="172"/>
      <c r="F197" s="172"/>
      <c r="G197" s="172"/>
      <c r="H197" s="172"/>
      <c r="I197" s="172"/>
      <c r="J197" s="172"/>
      <c r="K197" s="172"/>
      <c r="L197" s="172"/>
      <c r="M197" s="173"/>
      <c r="N197" s="100"/>
      <c r="O197" s="101"/>
      <c r="P197" s="101"/>
      <c r="Q197" s="102"/>
      <c r="R197" s="39"/>
      <c r="S197" s="39"/>
      <c r="T197" s="39"/>
      <c r="U197" s="109"/>
      <c r="V197" s="110"/>
      <c r="W197" s="110"/>
      <c r="X197" s="110"/>
      <c r="Y197" s="110"/>
      <c r="Z197" s="110"/>
      <c r="AA197" s="110"/>
      <c r="AB197" s="110"/>
      <c r="AC197" s="110"/>
      <c r="AD197" s="110"/>
      <c r="AE197" s="110"/>
      <c r="AF197" s="110"/>
      <c r="AG197" s="110"/>
      <c r="AH197" s="110"/>
      <c r="AI197" s="110"/>
      <c r="AJ197" s="111"/>
      <c r="AK197" s="61"/>
      <c r="AL197" s="61"/>
      <c r="AM197" s="109"/>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1"/>
      <c r="BQ197" s="38"/>
      <c r="BR197" s="25"/>
    </row>
    <row r="198" spans="1:70" ht="15.6" customHeight="1" x14ac:dyDescent="0.4">
      <c r="C198" s="33"/>
      <c r="D198" s="172"/>
      <c r="E198" s="172"/>
      <c r="F198" s="172"/>
      <c r="G198" s="172"/>
      <c r="H198" s="172"/>
      <c r="I198" s="172"/>
      <c r="J198" s="172"/>
      <c r="K198" s="172"/>
      <c r="L198" s="172"/>
      <c r="M198" s="173"/>
      <c r="N198" s="103"/>
      <c r="O198" s="104"/>
      <c r="P198" s="104"/>
      <c r="Q198" s="105"/>
      <c r="R198" s="39"/>
      <c r="S198" s="39"/>
      <c r="T198" s="39"/>
      <c r="U198" s="112"/>
      <c r="V198" s="113"/>
      <c r="W198" s="113"/>
      <c r="X198" s="113"/>
      <c r="Y198" s="113"/>
      <c r="Z198" s="113"/>
      <c r="AA198" s="113"/>
      <c r="AB198" s="113"/>
      <c r="AC198" s="113"/>
      <c r="AD198" s="113"/>
      <c r="AE198" s="113"/>
      <c r="AF198" s="113"/>
      <c r="AG198" s="113"/>
      <c r="AH198" s="113"/>
      <c r="AI198" s="113"/>
      <c r="AJ198" s="114"/>
      <c r="AK198" s="61"/>
      <c r="AL198" s="61"/>
      <c r="AM198" s="112"/>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4"/>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3"/>
      <c r="AS201" s="153"/>
      <c r="AT201" s="153"/>
      <c r="AU201" s="153"/>
      <c r="AV201" s="153"/>
      <c r="AW201" s="153"/>
      <c r="AX201" s="153"/>
      <c r="AY201" s="153"/>
      <c r="AZ201" s="153"/>
      <c r="BA201" s="153"/>
      <c r="BB201" s="153"/>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4"/>
      <c r="AS202" s="154"/>
      <c r="AT202" s="154"/>
      <c r="AU202" s="154"/>
      <c r="AV202" s="154"/>
      <c r="AW202" s="154"/>
      <c r="AX202" s="154"/>
      <c r="AY202" s="154"/>
      <c r="AZ202" s="154"/>
      <c r="BA202" s="154"/>
      <c r="BB202" s="154"/>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28" t="s">
        <v>14</v>
      </c>
      <c r="E203" s="129"/>
      <c r="F203" s="129"/>
      <c r="G203" s="129"/>
      <c r="H203" s="129"/>
      <c r="I203" s="129"/>
      <c r="J203" s="129"/>
      <c r="K203" s="129"/>
      <c r="L203" s="129"/>
      <c r="M203" s="129"/>
      <c r="N203" s="129"/>
      <c r="O203" s="129"/>
      <c r="P203" s="129"/>
      <c r="Q203" s="130"/>
      <c r="R203" s="88" t="s">
        <v>58</v>
      </c>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90"/>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1"/>
      <c r="E204" s="132"/>
      <c r="F204" s="132"/>
      <c r="G204" s="132"/>
      <c r="H204" s="132"/>
      <c r="I204" s="132"/>
      <c r="J204" s="132"/>
      <c r="K204" s="132"/>
      <c r="L204" s="132"/>
      <c r="M204" s="132"/>
      <c r="N204" s="132"/>
      <c r="O204" s="132"/>
      <c r="P204" s="132"/>
      <c r="Q204" s="133"/>
      <c r="R204" s="94"/>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6"/>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88" t="s">
        <v>18</v>
      </c>
      <c r="E207" s="89"/>
      <c r="F207" s="89"/>
      <c r="G207" s="89"/>
      <c r="H207" s="89"/>
      <c r="I207" s="89"/>
      <c r="J207" s="89"/>
      <c r="K207" s="89"/>
      <c r="L207" s="89"/>
      <c r="M207" s="90"/>
      <c r="N207" s="97" t="str">
        <f>IF([6]回答表!X45="○","○","")</f>
        <v/>
      </c>
      <c r="O207" s="98"/>
      <c r="P207" s="98"/>
      <c r="Q207" s="99"/>
      <c r="R207" s="39"/>
      <c r="S207" s="39"/>
      <c r="T207" s="39"/>
      <c r="U207" s="106" t="str">
        <f>IF([6]回答表!X45="○",[6]回答表!B314,IF([6]回答表!AA45="○",[6]回答表!B337,""))</f>
        <v/>
      </c>
      <c r="V207" s="107"/>
      <c r="W207" s="107"/>
      <c r="X207" s="107"/>
      <c r="Y207" s="107"/>
      <c r="Z207" s="107"/>
      <c r="AA207" s="107"/>
      <c r="AB207" s="107"/>
      <c r="AC207" s="107"/>
      <c r="AD207" s="107"/>
      <c r="AE207" s="107"/>
      <c r="AF207" s="107"/>
      <c r="AG207" s="107"/>
      <c r="AH207" s="107"/>
      <c r="AI207" s="107"/>
      <c r="AJ207" s="108"/>
      <c r="AK207" s="50"/>
      <c r="AL207" s="50"/>
      <c r="AM207" s="50"/>
      <c r="AN207" s="106" t="str">
        <f>IF([6]回答表!X45="○",[6]回答表!B320,"")</f>
        <v/>
      </c>
      <c r="AO207" s="164"/>
      <c r="AP207" s="164"/>
      <c r="AQ207" s="164"/>
      <c r="AR207" s="164"/>
      <c r="AS207" s="164"/>
      <c r="AT207" s="164"/>
      <c r="AU207" s="164"/>
      <c r="AV207" s="164"/>
      <c r="AW207" s="164"/>
      <c r="AX207" s="164"/>
      <c r="AY207" s="164"/>
      <c r="AZ207" s="164"/>
      <c r="BA207" s="164"/>
      <c r="BB207" s="165"/>
      <c r="BC207" s="40"/>
      <c r="BD207" s="35"/>
      <c r="BE207" s="115" t="str">
        <f>IF([6]回答表!X45="○",[6]回答表!B326,IF([6]回答表!AA45="○",[6]回答表!B343,""))</f>
        <v/>
      </c>
      <c r="BF207" s="116"/>
      <c r="BG207" s="116"/>
      <c r="BH207" s="116"/>
      <c r="BI207" s="115"/>
      <c r="BJ207" s="116"/>
      <c r="BK207" s="116"/>
      <c r="BL207" s="116"/>
      <c r="BM207" s="115"/>
      <c r="BN207" s="116"/>
      <c r="BO207" s="116"/>
      <c r="BP207" s="117"/>
      <c r="BQ207" s="38"/>
      <c r="BR207" s="25"/>
    </row>
    <row r="208" spans="1:70" ht="15.6" customHeight="1" x14ac:dyDescent="0.4">
      <c r="A208" s="25"/>
      <c r="B208" s="25"/>
      <c r="C208" s="33"/>
      <c r="D208" s="91"/>
      <c r="E208" s="92"/>
      <c r="F208" s="92"/>
      <c r="G208" s="92"/>
      <c r="H208" s="92"/>
      <c r="I208" s="92"/>
      <c r="J208" s="92"/>
      <c r="K208" s="92"/>
      <c r="L208" s="92"/>
      <c r="M208" s="93"/>
      <c r="N208" s="100"/>
      <c r="O208" s="101"/>
      <c r="P208" s="101"/>
      <c r="Q208" s="102"/>
      <c r="R208" s="39"/>
      <c r="S208" s="39"/>
      <c r="T208" s="39"/>
      <c r="U208" s="109"/>
      <c r="V208" s="110"/>
      <c r="W208" s="110"/>
      <c r="X208" s="110"/>
      <c r="Y208" s="110"/>
      <c r="Z208" s="110"/>
      <c r="AA208" s="110"/>
      <c r="AB208" s="110"/>
      <c r="AC208" s="110"/>
      <c r="AD208" s="110"/>
      <c r="AE208" s="110"/>
      <c r="AF208" s="110"/>
      <c r="AG208" s="110"/>
      <c r="AH208" s="110"/>
      <c r="AI208" s="110"/>
      <c r="AJ208" s="111"/>
      <c r="AK208" s="50"/>
      <c r="AL208" s="50"/>
      <c r="AM208" s="50"/>
      <c r="AN208" s="166"/>
      <c r="AO208" s="167"/>
      <c r="AP208" s="167"/>
      <c r="AQ208" s="167"/>
      <c r="AR208" s="167"/>
      <c r="AS208" s="167"/>
      <c r="AT208" s="167"/>
      <c r="AU208" s="167"/>
      <c r="AV208" s="167"/>
      <c r="AW208" s="167"/>
      <c r="AX208" s="167"/>
      <c r="AY208" s="167"/>
      <c r="AZ208" s="167"/>
      <c r="BA208" s="167"/>
      <c r="BB208" s="168"/>
      <c r="BC208" s="40"/>
      <c r="BD208" s="35"/>
      <c r="BE208" s="82"/>
      <c r="BF208" s="83"/>
      <c r="BG208" s="83"/>
      <c r="BH208" s="83"/>
      <c r="BI208" s="82"/>
      <c r="BJ208" s="83"/>
      <c r="BK208" s="83"/>
      <c r="BL208" s="83"/>
      <c r="BM208" s="82"/>
      <c r="BN208" s="83"/>
      <c r="BO208" s="83"/>
      <c r="BP208" s="86"/>
      <c r="BQ208" s="38"/>
      <c r="BR208" s="25"/>
    </row>
    <row r="209" spans="1:70" ht="15.6" customHeight="1" x14ac:dyDescent="0.4">
      <c r="A209" s="25"/>
      <c r="B209" s="25"/>
      <c r="C209" s="33"/>
      <c r="D209" s="91"/>
      <c r="E209" s="92"/>
      <c r="F209" s="92"/>
      <c r="G209" s="92"/>
      <c r="H209" s="92"/>
      <c r="I209" s="92"/>
      <c r="J209" s="92"/>
      <c r="K209" s="92"/>
      <c r="L209" s="92"/>
      <c r="M209" s="93"/>
      <c r="N209" s="100"/>
      <c r="O209" s="101"/>
      <c r="P209" s="101"/>
      <c r="Q209" s="102"/>
      <c r="R209" s="39"/>
      <c r="S209" s="39"/>
      <c r="T209" s="39"/>
      <c r="U209" s="109"/>
      <c r="V209" s="110"/>
      <c r="W209" s="110"/>
      <c r="X209" s="110"/>
      <c r="Y209" s="110"/>
      <c r="Z209" s="110"/>
      <c r="AA209" s="110"/>
      <c r="AB209" s="110"/>
      <c r="AC209" s="110"/>
      <c r="AD209" s="110"/>
      <c r="AE209" s="110"/>
      <c r="AF209" s="110"/>
      <c r="AG209" s="110"/>
      <c r="AH209" s="110"/>
      <c r="AI209" s="110"/>
      <c r="AJ209" s="111"/>
      <c r="AK209" s="50"/>
      <c r="AL209" s="50"/>
      <c r="AM209" s="50"/>
      <c r="AN209" s="166"/>
      <c r="AO209" s="167"/>
      <c r="AP209" s="167"/>
      <c r="AQ209" s="167"/>
      <c r="AR209" s="167"/>
      <c r="AS209" s="167"/>
      <c r="AT209" s="167"/>
      <c r="AU209" s="167"/>
      <c r="AV209" s="167"/>
      <c r="AW209" s="167"/>
      <c r="AX209" s="167"/>
      <c r="AY209" s="167"/>
      <c r="AZ209" s="167"/>
      <c r="BA209" s="167"/>
      <c r="BB209" s="168"/>
      <c r="BC209" s="40"/>
      <c r="BD209" s="35"/>
      <c r="BE209" s="82"/>
      <c r="BF209" s="83"/>
      <c r="BG209" s="83"/>
      <c r="BH209" s="83"/>
      <c r="BI209" s="82"/>
      <c r="BJ209" s="83"/>
      <c r="BK209" s="83"/>
      <c r="BL209" s="83"/>
      <c r="BM209" s="82"/>
      <c r="BN209" s="83"/>
      <c r="BO209" s="83"/>
      <c r="BP209" s="86"/>
      <c r="BQ209" s="38"/>
      <c r="BR209" s="25"/>
    </row>
    <row r="210" spans="1:70" ht="15.6" customHeight="1" x14ac:dyDescent="0.4">
      <c r="A210" s="25"/>
      <c r="B210" s="25"/>
      <c r="C210" s="33"/>
      <c r="D210" s="94"/>
      <c r="E210" s="95"/>
      <c r="F210" s="95"/>
      <c r="G210" s="95"/>
      <c r="H210" s="95"/>
      <c r="I210" s="95"/>
      <c r="J210" s="95"/>
      <c r="K210" s="95"/>
      <c r="L210" s="95"/>
      <c r="M210" s="96"/>
      <c r="N210" s="103"/>
      <c r="O210" s="104"/>
      <c r="P210" s="104"/>
      <c r="Q210" s="105"/>
      <c r="R210" s="39"/>
      <c r="S210" s="39"/>
      <c r="T210" s="39"/>
      <c r="U210" s="109"/>
      <c r="V210" s="110"/>
      <c r="W210" s="110"/>
      <c r="X210" s="110"/>
      <c r="Y210" s="110"/>
      <c r="Z210" s="110"/>
      <c r="AA210" s="110"/>
      <c r="AB210" s="110"/>
      <c r="AC210" s="110"/>
      <c r="AD210" s="110"/>
      <c r="AE210" s="110"/>
      <c r="AF210" s="110"/>
      <c r="AG210" s="110"/>
      <c r="AH210" s="110"/>
      <c r="AI210" s="110"/>
      <c r="AJ210" s="111"/>
      <c r="AK210" s="50"/>
      <c r="AL210" s="50"/>
      <c r="AM210" s="50"/>
      <c r="AN210" s="166"/>
      <c r="AO210" s="167"/>
      <c r="AP210" s="167"/>
      <c r="AQ210" s="167"/>
      <c r="AR210" s="167"/>
      <c r="AS210" s="167"/>
      <c r="AT210" s="167"/>
      <c r="AU210" s="167"/>
      <c r="AV210" s="167"/>
      <c r="AW210" s="167"/>
      <c r="AX210" s="167"/>
      <c r="AY210" s="167"/>
      <c r="AZ210" s="167"/>
      <c r="BA210" s="167"/>
      <c r="BB210" s="168"/>
      <c r="BC210" s="40"/>
      <c r="BD210" s="35"/>
      <c r="BE210" s="82" t="str">
        <f>IF([6]回答表!X45="○",[6]回答表!E326,IF([6]回答表!AA45="○",[6]回答表!E343,""))</f>
        <v/>
      </c>
      <c r="BF210" s="83"/>
      <c r="BG210" s="83"/>
      <c r="BH210" s="83"/>
      <c r="BI210" s="82" t="str">
        <f>IF([6]回答表!X45="○",[6]回答表!E327,IF([6]回答表!AA45="○",[6]回答表!E344,""))</f>
        <v/>
      </c>
      <c r="BJ210" s="83"/>
      <c r="BK210" s="83"/>
      <c r="BL210" s="86"/>
      <c r="BM210" s="82" t="str">
        <f>IF([6]回答表!X45="○",[6]回答表!E328,IF([6]回答表!AA45="○",[6]回答表!E345,""))</f>
        <v/>
      </c>
      <c r="BN210" s="83"/>
      <c r="BO210" s="83"/>
      <c r="BP210" s="86"/>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09"/>
      <c r="V211" s="110"/>
      <c r="W211" s="110"/>
      <c r="X211" s="110"/>
      <c r="Y211" s="110"/>
      <c r="Z211" s="110"/>
      <c r="AA211" s="110"/>
      <c r="AB211" s="110"/>
      <c r="AC211" s="110"/>
      <c r="AD211" s="110"/>
      <c r="AE211" s="110"/>
      <c r="AF211" s="110"/>
      <c r="AG211" s="110"/>
      <c r="AH211" s="110"/>
      <c r="AI211" s="110"/>
      <c r="AJ211" s="111"/>
      <c r="AK211" s="50"/>
      <c r="AL211" s="50"/>
      <c r="AM211" s="50"/>
      <c r="AN211" s="166"/>
      <c r="AO211" s="167"/>
      <c r="AP211" s="167"/>
      <c r="AQ211" s="167"/>
      <c r="AR211" s="167"/>
      <c r="AS211" s="167"/>
      <c r="AT211" s="167"/>
      <c r="AU211" s="167"/>
      <c r="AV211" s="167"/>
      <c r="AW211" s="167"/>
      <c r="AX211" s="167"/>
      <c r="AY211" s="167"/>
      <c r="AZ211" s="167"/>
      <c r="BA211" s="167"/>
      <c r="BB211" s="168"/>
      <c r="BC211" s="40"/>
      <c r="BD211" s="40"/>
      <c r="BE211" s="82"/>
      <c r="BF211" s="83"/>
      <c r="BG211" s="83"/>
      <c r="BH211" s="83"/>
      <c r="BI211" s="82"/>
      <c r="BJ211" s="83"/>
      <c r="BK211" s="83"/>
      <c r="BL211" s="86"/>
      <c r="BM211" s="82"/>
      <c r="BN211" s="83"/>
      <c r="BO211" s="83"/>
      <c r="BP211" s="86"/>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09"/>
      <c r="V212" s="110"/>
      <c r="W212" s="110"/>
      <c r="X212" s="110"/>
      <c r="Y212" s="110"/>
      <c r="Z212" s="110"/>
      <c r="AA212" s="110"/>
      <c r="AB212" s="110"/>
      <c r="AC212" s="110"/>
      <c r="AD212" s="110"/>
      <c r="AE212" s="110"/>
      <c r="AF212" s="110"/>
      <c r="AG212" s="110"/>
      <c r="AH212" s="110"/>
      <c r="AI212" s="110"/>
      <c r="AJ212" s="111"/>
      <c r="AK212" s="50"/>
      <c r="AL212" s="50"/>
      <c r="AM212" s="50"/>
      <c r="AN212" s="166"/>
      <c r="AO212" s="167"/>
      <c r="AP212" s="167"/>
      <c r="AQ212" s="167"/>
      <c r="AR212" s="167"/>
      <c r="AS212" s="167"/>
      <c r="AT212" s="167"/>
      <c r="AU212" s="167"/>
      <c r="AV212" s="167"/>
      <c r="AW212" s="167"/>
      <c r="AX212" s="167"/>
      <c r="AY212" s="167"/>
      <c r="AZ212" s="167"/>
      <c r="BA212" s="167"/>
      <c r="BB212" s="168"/>
      <c r="BC212" s="40"/>
      <c r="BD212" s="35"/>
      <c r="BE212" s="82"/>
      <c r="BF212" s="83"/>
      <c r="BG212" s="83"/>
      <c r="BH212" s="83"/>
      <c r="BI212" s="82"/>
      <c r="BJ212" s="83"/>
      <c r="BK212" s="83"/>
      <c r="BL212" s="86"/>
      <c r="BM212" s="82"/>
      <c r="BN212" s="83"/>
      <c r="BO212" s="83"/>
      <c r="BP212" s="86"/>
      <c r="BQ212" s="38"/>
      <c r="BR212" s="25"/>
    </row>
    <row r="213" spans="1:70" ht="15.6" customHeight="1" x14ac:dyDescent="0.4">
      <c r="A213" s="25"/>
      <c r="B213" s="25"/>
      <c r="C213" s="33"/>
      <c r="D213" s="140" t="s">
        <v>26</v>
      </c>
      <c r="E213" s="141"/>
      <c r="F213" s="141"/>
      <c r="G213" s="141"/>
      <c r="H213" s="141"/>
      <c r="I213" s="141"/>
      <c r="J213" s="141"/>
      <c r="K213" s="141"/>
      <c r="L213" s="141"/>
      <c r="M213" s="142"/>
      <c r="N213" s="97" t="str">
        <f>IF([6]回答表!AA45="○","○","")</f>
        <v/>
      </c>
      <c r="O213" s="98"/>
      <c r="P213" s="98"/>
      <c r="Q213" s="99"/>
      <c r="R213" s="39"/>
      <c r="S213" s="39"/>
      <c r="T213" s="39"/>
      <c r="U213" s="109"/>
      <c r="V213" s="110"/>
      <c r="W213" s="110"/>
      <c r="X213" s="110"/>
      <c r="Y213" s="110"/>
      <c r="Z213" s="110"/>
      <c r="AA213" s="110"/>
      <c r="AB213" s="110"/>
      <c r="AC213" s="110"/>
      <c r="AD213" s="110"/>
      <c r="AE213" s="110"/>
      <c r="AF213" s="110"/>
      <c r="AG213" s="110"/>
      <c r="AH213" s="110"/>
      <c r="AI213" s="110"/>
      <c r="AJ213" s="111"/>
      <c r="AK213" s="50"/>
      <c r="AL213" s="50"/>
      <c r="AM213" s="50"/>
      <c r="AN213" s="166"/>
      <c r="AO213" s="167"/>
      <c r="AP213" s="167"/>
      <c r="AQ213" s="167"/>
      <c r="AR213" s="167"/>
      <c r="AS213" s="167"/>
      <c r="AT213" s="167"/>
      <c r="AU213" s="167"/>
      <c r="AV213" s="167"/>
      <c r="AW213" s="167"/>
      <c r="AX213" s="167"/>
      <c r="AY213" s="167"/>
      <c r="AZ213" s="167"/>
      <c r="BA213" s="167"/>
      <c r="BB213" s="168"/>
      <c r="BC213" s="40"/>
      <c r="BD213" s="54"/>
      <c r="BE213" s="82"/>
      <c r="BF213" s="83"/>
      <c r="BG213" s="83"/>
      <c r="BH213" s="83"/>
      <c r="BI213" s="82"/>
      <c r="BJ213" s="83"/>
      <c r="BK213" s="83"/>
      <c r="BL213" s="86"/>
      <c r="BM213" s="82"/>
      <c r="BN213" s="83"/>
      <c r="BO213" s="83"/>
      <c r="BP213" s="86"/>
      <c r="BQ213" s="38"/>
      <c r="BR213" s="25"/>
    </row>
    <row r="214" spans="1:70" ht="15.6" customHeight="1" x14ac:dyDescent="0.4">
      <c r="A214" s="25"/>
      <c r="B214" s="25"/>
      <c r="C214" s="33"/>
      <c r="D214" s="143"/>
      <c r="E214" s="144"/>
      <c r="F214" s="144"/>
      <c r="G214" s="144"/>
      <c r="H214" s="144"/>
      <c r="I214" s="144"/>
      <c r="J214" s="144"/>
      <c r="K214" s="144"/>
      <c r="L214" s="144"/>
      <c r="M214" s="145"/>
      <c r="N214" s="100"/>
      <c r="O214" s="101"/>
      <c r="P214" s="101"/>
      <c r="Q214" s="102"/>
      <c r="R214" s="39"/>
      <c r="S214" s="39"/>
      <c r="T214" s="39"/>
      <c r="U214" s="109"/>
      <c r="V214" s="110"/>
      <c r="W214" s="110"/>
      <c r="X214" s="110"/>
      <c r="Y214" s="110"/>
      <c r="Z214" s="110"/>
      <c r="AA214" s="110"/>
      <c r="AB214" s="110"/>
      <c r="AC214" s="110"/>
      <c r="AD214" s="110"/>
      <c r="AE214" s="110"/>
      <c r="AF214" s="110"/>
      <c r="AG214" s="110"/>
      <c r="AH214" s="110"/>
      <c r="AI214" s="110"/>
      <c r="AJ214" s="111"/>
      <c r="AK214" s="50"/>
      <c r="AL214" s="50"/>
      <c r="AM214" s="50"/>
      <c r="AN214" s="166"/>
      <c r="AO214" s="167"/>
      <c r="AP214" s="167"/>
      <c r="AQ214" s="167"/>
      <c r="AR214" s="167"/>
      <c r="AS214" s="167"/>
      <c r="AT214" s="167"/>
      <c r="AU214" s="167"/>
      <c r="AV214" s="167"/>
      <c r="AW214" s="167"/>
      <c r="AX214" s="167"/>
      <c r="AY214" s="167"/>
      <c r="AZ214" s="167"/>
      <c r="BA214" s="167"/>
      <c r="BB214" s="168"/>
      <c r="BC214" s="40"/>
      <c r="BD214" s="54"/>
      <c r="BE214" s="82" t="s">
        <v>23</v>
      </c>
      <c r="BF214" s="83"/>
      <c r="BG214" s="83"/>
      <c r="BH214" s="83"/>
      <c r="BI214" s="82" t="s">
        <v>24</v>
      </c>
      <c r="BJ214" s="83"/>
      <c r="BK214" s="83"/>
      <c r="BL214" s="83"/>
      <c r="BM214" s="82" t="s">
        <v>25</v>
      </c>
      <c r="BN214" s="83"/>
      <c r="BO214" s="83"/>
      <c r="BP214" s="86"/>
      <c r="BQ214" s="38"/>
      <c r="BR214" s="25"/>
    </row>
    <row r="215" spans="1:70" ht="15.6" customHeight="1" x14ac:dyDescent="0.4">
      <c r="A215" s="25"/>
      <c r="B215" s="25"/>
      <c r="C215" s="33"/>
      <c r="D215" s="143"/>
      <c r="E215" s="144"/>
      <c r="F215" s="144"/>
      <c r="G215" s="144"/>
      <c r="H215" s="144"/>
      <c r="I215" s="144"/>
      <c r="J215" s="144"/>
      <c r="K215" s="144"/>
      <c r="L215" s="144"/>
      <c r="M215" s="145"/>
      <c r="N215" s="100"/>
      <c r="O215" s="101"/>
      <c r="P215" s="101"/>
      <c r="Q215" s="102"/>
      <c r="R215" s="39"/>
      <c r="S215" s="39"/>
      <c r="T215" s="39"/>
      <c r="U215" s="109"/>
      <c r="V215" s="110"/>
      <c r="W215" s="110"/>
      <c r="X215" s="110"/>
      <c r="Y215" s="110"/>
      <c r="Z215" s="110"/>
      <c r="AA215" s="110"/>
      <c r="AB215" s="110"/>
      <c r="AC215" s="110"/>
      <c r="AD215" s="110"/>
      <c r="AE215" s="110"/>
      <c r="AF215" s="110"/>
      <c r="AG215" s="110"/>
      <c r="AH215" s="110"/>
      <c r="AI215" s="110"/>
      <c r="AJ215" s="111"/>
      <c r="AK215" s="50"/>
      <c r="AL215" s="50"/>
      <c r="AM215" s="50"/>
      <c r="AN215" s="166"/>
      <c r="AO215" s="167"/>
      <c r="AP215" s="167"/>
      <c r="AQ215" s="167"/>
      <c r="AR215" s="167"/>
      <c r="AS215" s="167"/>
      <c r="AT215" s="167"/>
      <c r="AU215" s="167"/>
      <c r="AV215" s="167"/>
      <c r="AW215" s="167"/>
      <c r="AX215" s="167"/>
      <c r="AY215" s="167"/>
      <c r="AZ215" s="167"/>
      <c r="BA215" s="167"/>
      <c r="BB215" s="168"/>
      <c r="BC215" s="40"/>
      <c r="BD215" s="54"/>
      <c r="BE215" s="82"/>
      <c r="BF215" s="83"/>
      <c r="BG215" s="83"/>
      <c r="BH215" s="83"/>
      <c r="BI215" s="82"/>
      <c r="BJ215" s="83"/>
      <c r="BK215" s="83"/>
      <c r="BL215" s="83"/>
      <c r="BM215" s="82"/>
      <c r="BN215" s="83"/>
      <c r="BO215" s="83"/>
      <c r="BP215" s="86"/>
      <c r="BQ215" s="38"/>
      <c r="BR215" s="25"/>
    </row>
    <row r="216" spans="1:70" ht="15.6" customHeight="1" x14ac:dyDescent="0.4">
      <c r="A216" s="25"/>
      <c r="B216" s="25"/>
      <c r="C216" s="33"/>
      <c r="D216" s="146"/>
      <c r="E216" s="147"/>
      <c r="F216" s="147"/>
      <c r="G216" s="147"/>
      <c r="H216" s="147"/>
      <c r="I216" s="147"/>
      <c r="J216" s="147"/>
      <c r="K216" s="147"/>
      <c r="L216" s="147"/>
      <c r="M216" s="148"/>
      <c r="N216" s="103"/>
      <c r="O216" s="104"/>
      <c r="P216" s="104"/>
      <c r="Q216" s="105"/>
      <c r="R216" s="39"/>
      <c r="S216" s="39"/>
      <c r="T216" s="39"/>
      <c r="U216" s="112"/>
      <c r="V216" s="113"/>
      <c r="W216" s="113"/>
      <c r="X216" s="113"/>
      <c r="Y216" s="113"/>
      <c r="Z216" s="113"/>
      <c r="AA216" s="113"/>
      <c r="AB216" s="113"/>
      <c r="AC216" s="113"/>
      <c r="AD216" s="113"/>
      <c r="AE216" s="113"/>
      <c r="AF216" s="113"/>
      <c r="AG216" s="113"/>
      <c r="AH216" s="113"/>
      <c r="AI216" s="113"/>
      <c r="AJ216" s="114"/>
      <c r="AK216" s="50"/>
      <c r="AL216" s="50"/>
      <c r="AM216" s="50"/>
      <c r="AN216" s="169"/>
      <c r="AO216" s="170"/>
      <c r="AP216" s="170"/>
      <c r="AQ216" s="170"/>
      <c r="AR216" s="170"/>
      <c r="AS216" s="170"/>
      <c r="AT216" s="170"/>
      <c r="AU216" s="170"/>
      <c r="AV216" s="170"/>
      <c r="AW216" s="170"/>
      <c r="AX216" s="170"/>
      <c r="AY216" s="170"/>
      <c r="AZ216" s="170"/>
      <c r="BA216" s="170"/>
      <c r="BB216" s="171"/>
      <c r="BC216" s="40"/>
      <c r="BD216" s="54"/>
      <c r="BE216" s="84"/>
      <c r="BF216" s="85"/>
      <c r="BG216" s="85"/>
      <c r="BH216" s="85"/>
      <c r="BI216" s="84"/>
      <c r="BJ216" s="85"/>
      <c r="BK216" s="85"/>
      <c r="BL216" s="85"/>
      <c r="BM216" s="84"/>
      <c r="BN216" s="85"/>
      <c r="BO216" s="85"/>
      <c r="BP216" s="87"/>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88" t="s">
        <v>34</v>
      </c>
      <c r="E219" s="89"/>
      <c r="F219" s="89"/>
      <c r="G219" s="89"/>
      <c r="H219" s="89"/>
      <c r="I219" s="89"/>
      <c r="J219" s="89"/>
      <c r="K219" s="89"/>
      <c r="L219" s="89"/>
      <c r="M219" s="90"/>
      <c r="N219" s="97" t="str">
        <f>IF([6]回答表!AD45="○","○","")</f>
        <v/>
      </c>
      <c r="O219" s="98"/>
      <c r="P219" s="98"/>
      <c r="Q219" s="99"/>
      <c r="R219" s="39"/>
      <c r="S219" s="39"/>
      <c r="T219" s="39"/>
      <c r="U219" s="106" t="str">
        <f>IF([6]回答表!AD45="○",[6]回答表!B350,"")</f>
        <v/>
      </c>
      <c r="V219" s="107"/>
      <c r="W219" s="107"/>
      <c r="X219" s="107"/>
      <c r="Y219" s="107"/>
      <c r="Z219" s="107"/>
      <c r="AA219" s="107"/>
      <c r="AB219" s="107"/>
      <c r="AC219" s="107"/>
      <c r="AD219" s="107"/>
      <c r="AE219" s="107"/>
      <c r="AF219" s="107"/>
      <c r="AG219" s="107"/>
      <c r="AH219" s="107"/>
      <c r="AI219" s="107"/>
      <c r="AJ219" s="108"/>
      <c r="AK219" s="61"/>
      <c r="AL219" s="61"/>
      <c r="AM219" s="106" t="str">
        <f>IF([6]回答表!AD45="○",[6]回答表!B356,"")</f>
        <v/>
      </c>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8"/>
      <c r="BQ219" s="38"/>
      <c r="BR219" s="25"/>
    </row>
    <row r="220" spans="1:70" ht="15.6" customHeight="1" x14ac:dyDescent="0.4">
      <c r="C220" s="33"/>
      <c r="D220" s="91"/>
      <c r="E220" s="92"/>
      <c r="F220" s="92"/>
      <c r="G220" s="92"/>
      <c r="H220" s="92"/>
      <c r="I220" s="92"/>
      <c r="J220" s="92"/>
      <c r="K220" s="92"/>
      <c r="L220" s="92"/>
      <c r="M220" s="93"/>
      <c r="N220" s="100"/>
      <c r="O220" s="101"/>
      <c r="P220" s="101"/>
      <c r="Q220" s="102"/>
      <c r="R220" s="39"/>
      <c r="S220" s="39"/>
      <c r="T220" s="39"/>
      <c r="U220" s="109"/>
      <c r="V220" s="110"/>
      <c r="W220" s="110"/>
      <c r="X220" s="110"/>
      <c r="Y220" s="110"/>
      <c r="Z220" s="110"/>
      <c r="AA220" s="110"/>
      <c r="AB220" s="110"/>
      <c r="AC220" s="110"/>
      <c r="AD220" s="110"/>
      <c r="AE220" s="110"/>
      <c r="AF220" s="110"/>
      <c r="AG220" s="110"/>
      <c r="AH220" s="110"/>
      <c r="AI220" s="110"/>
      <c r="AJ220" s="111"/>
      <c r="AK220" s="61"/>
      <c r="AL220" s="61"/>
      <c r="AM220" s="109"/>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1"/>
      <c r="BQ220" s="38"/>
      <c r="BR220" s="25"/>
    </row>
    <row r="221" spans="1:70" ht="15.6" customHeight="1" x14ac:dyDescent="0.4">
      <c r="C221" s="33"/>
      <c r="D221" s="91"/>
      <c r="E221" s="92"/>
      <c r="F221" s="92"/>
      <c r="G221" s="92"/>
      <c r="H221" s="92"/>
      <c r="I221" s="92"/>
      <c r="J221" s="92"/>
      <c r="K221" s="92"/>
      <c r="L221" s="92"/>
      <c r="M221" s="93"/>
      <c r="N221" s="100"/>
      <c r="O221" s="101"/>
      <c r="P221" s="101"/>
      <c r="Q221" s="102"/>
      <c r="R221" s="39"/>
      <c r="S221" s="39"/>
      <c r="T221" s="39"/>
      <c r="U221" s="109"/>
      <c r="V221" s="110"/>
      <c r="W221" s="110"/>
      <c r="X221" s="110"/>
      <c r="Y221" s="110"/>
      <c r="Z221" s="110"/>
      <c r="AA221" s="110"/>
      <c r="AB221" s="110"/>
      <c r="AC221" s="110"/>
      <c r="AD221" s="110"/>
      <c r="AE221" s="110"/>
      <c r="AF221" s="110"/>
      <c r="AG221" s="110"/>
      <c r="AH221" s="110"/>
      <c r="AI221" s="110"/>
      <c r="AJ221" s="111"/>
      <c r="AK221" s="61"/>
      <c r="AL221" s="61"/>
      <c r="AM221" s="109"/>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1"/>
      <c r="BQ221" s="38"/>
      <c r="BR221" s="25"/>
    </row>
    <row r="222" spans="1:70" ht="15.6" customHeight="1" x14ac:dyDescent="0.4">
      <c r="C222" s="33"/>
      <c r="D222" s="94"/>
      <c r="E222" s="95"/>
      <c r="F222" s="95"/>
      <c r="G222" s="95"/>
      <c r="H222" s="95"/>
      <c r="I222" s="95"/>
      <c r="J222" s="95"/>
      <c r="K222" s="95"/>
      <c r="L222" s="95"/>
      <c r="M222" s="96"/>
      <c r="N222" s="103"/>
      <c r="O222" s="104"/>
      <c r="P222" s="104"/>
      <c r="Q222" s="105"/>
      <c r="R222" s="39"/>
      <c r="S222" s="39"/>
      <c r="T222" s="39"/>
      <c r="U222" s="112"/>
      <c r="V222" s="113"/>
      <c r="W222" s="113"/>
      <c r="X222" s="113"/>
      <c r="Y222" s="113"/>
      <c r="Z222" s="113"/>
      <c r="AA222" s="113"/>
      <c r="AB222" s="113"/>
      <c r="AC222" s="113"/>
      <c r="AD222" s="113"/>
      <c r="AE222" s="113"/>
      <c r="AF222" s="113"/>
      <c r="AG222" s="113"/>
      <c r="AH222" s="113"/>
      <c r="AI222" s="113"/>
      <c r="AJ222" s="114"/>
      <c r="AK222" s="61"/>
      <c r="AL222" s="61"/>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4"/>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3"/>
      <c r="AS225" s="153"/>
      <c r="AT225" s="153"/>
      <c r="AU225" s="153"/>
      <c r="AV225" s="153"/>
      <c r="AW225" s="153"/>
      <c r="AX225" s="153"/>
      <c r="AY225" s="153"/>
      <c r="AZ225" s="153"/>
      <c r="BA225" s="153"/>
      <c r="BB225" s="153"/>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4"/>
      <c r="AS226" s="154"/>
      <c r="AT226" s="154"/>
      <c r="AU226" s="154"/>
      <c r="AV226" s="154"/>
      <c r="AW226" s="154"/>
      <c r="AX226" s="154"/>
      <c r="AY226" s="154"/>
      <c r="AZ226" s="154"/>
      <c r="BA226" s="154"/>
      <c r="BB226" s="154"/>
      <c r="BC226" s="34"/>
      <c r="BD226" s="35"/>
      <c r="BE226" s="35"/>
      <c r="BF226" s="35"/>
      <c r="BG226" s="35"/>
      <c r="BH226" s="35"/>
      <c r="BI226" s="35"/>
      <c r="BJ226" s="35"/>
      <c r="BK226" s="35"/>
      <c r="BL226" s="35"/>
      <c r="BM226" s="36"/>
      <c r="BN226" s="36"/>
      <c r="BO226" s="36"/>
      <c r="BP226" s="37"/>
      <c r="BQ226" s="38"/>
    </row>
    <row r="227" spans="1:70" ht="15.6" customHeight="1" x14ac:dyDescent="0.5">
      <c r="C227" s="33"/>
      <c r="D227" s="128" t="s">
        <v>14</v>
      </c>
      <c r="E227" s="129"/>
      <c r="F227" s="129"/>
      <c r="G227" s="129"/>
      <c r="H227" s="129"/>
      <c r="I227" s="129"/>
      <c r="J227" s="129"/>
      <c r="K227" s="129"/>
      <c r="L227" s="129"/>
      <c r="M227" s="129"/>
      <c r="N227" s="129"/>
      <c r="O227" s="129"/>
      <c r="P227" s="129"/>
      <c r="Q227" s="130"/>
      <c r="R227" s="88" t="s">
        <v>60</v>
      </c>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90"/>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1"/>
      <c r="E228" s="132"/>
      <c r="F228" s="132"/>
      <c r="G228" s="132"/>
      <c r="H228" s="132"/>
      <c r="I228" s="132"/>
      <c r="J228" s="132"/>
      <c r="K228" s="132"/>
      <c r="L228" s="132"/>
      <c r="M228" s="132"/>
      <c r="N228" s="132"/>
      <c r="O228" s="132"/>
      <c r="P228" s="132"/>
      <c r="Q228" s="133"/>
      <c r="R228" s="94"/>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6"/>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88" t="s">
        <v>18</v>
      </c>
      <c r="E231" s="89"/>
      <c r="F231" s="89"/>
      <c r="G231" s="89"/>
      <c r="H231" s="89"/>
      <c r="I231" s="89"/>
      <c r="J231" s="89"/>
      <c r="K231" s="89"/>
      <c r="L231" s="89"/>
      <c r="M231" s="90"/>
      <c r="N231" s="97" t="str">
        <f>IF([6]回答表!X46="○","○","")</f>
        <v/>
      </c>
      <c r="O231" s="98"/>
      <c r="P231" s="98"/>
      <c r="Q231" s="99"/>
      <c r="R231" s="39"/>
      <c r="S231" s="39"/>
      <c r="T231" s="39"/>
      <c r="U231" s="106" t="str">
        <f>IF([6]回答表!X46="○",[6]回答表!B368,IF([6]回答表!AA46="○",[6]回答表!B382,""))</f>
        <v/>
      </c>
      <c r="V231" s="107"/>
      <c r="W231" s="107"/>
      <c r="X231" s="107"/>
      <c r="Y231" s="107"/>
      <c r="Z231" s="107"/>
      <c r="AA231" s="107"/>
      <c r="AB231" s="107"/>
      <c r="AC231" s="107"/>
      <c r="AD231" s="107"/>
      <c r="AE231" s="107"/>
      <c r="AF231" s="107"/>
      <c r="AG231" s="107"/>
      <c r="AH231" s="107"/>
      <c r="AI231" s="107"/>
      <c r="AJ231" s="108"/>
      <c r="AK231" s="50"/>
      <c r="AL231" s="50"/>
      <c r="AM231" s="149" t="s">
        <v>62</v>
      </c>
      <c r="AN231" s="149"/>
      <c r="AO231" s="149"/>
      <c r="AP231" s="149"/>
      <c r="AQ231" s="150" t="str">
        <f>IF([6]回答表!X46="○",[6]回答表!BC375,IF([6]回答表!AA46="○",[6]回答表!BC389,""))</f>
        <v/>
      </c>
      <c r="AR231" s="150"/>
      <c r="AS231" s="150"/>
      <c r="AT231" s="150"/>
      <c r="AU231" s="155" t="s">
        <v>63</v>
      </c>
      <c r="AV231" s="156"/>
      <c r="AW231" s="156"/>
      <c r="AX231" s="157"/>
      <c r="AY231" s="150" t="str">
        <f>IF([6]回答表!X46="○",[6]回答表!BC380,IF([6]回答表!AA46="○",[6]回答表!BC394,""))</f>
        <v/>
      </c>
      <c r="AZ231" s="150"/>
      <c r="BA231" s="150"/>
      <c r="BB231" s="150"/>
      <c r="BC231" s="40"/>
      <c r="BD231" s="35"/>
      <c r="BE231" s="115" t="str">
        <f>IF([6]回答表!X46="○",[6]回答表!S374,IF([6]回答表!AA46="○",[6]回答表!S388,""))</f>
        <v/>
      </c>
      <c r="BF231" s="116"/>
      <c r="BG231" s="116"/>
      <c r="BH231" s="116"/>
      <c r="BI231" s="115"/>
      <c r="BJ231" s="116"/>
      <c r="BK231" s="116"/>
      <c r="BL231" s="116"/>
      <c r="BM231" s="115"/>
      <c r="BN231" s="116"/>
      <c r="BO231" s="116"/>
      <c r="BP231" s="117"/>
      <c r="BQ231" s="38"/>
      <c r="BR231" s="25"/>
    </row>
    <row r="232" spans="1:70" ht="15.6" customHeight="1" x14ac:dyDescent="0.4">
      <c r="A232" s="25"/>
      <c r="B232" s="25"/>
      <c r="C232" s="33"/>
      <c r="D232" s="91"/>
      <c r="E232" s="92"/>
      <c r="F232" s="92"/>
      <c r="G232" s="92"/>
      <c r="H232" s="92"/>
      <c r="I232" s="92"/>
      <c r="J232" s="92"/>
      <c r="K232" s="92"/>
      <c r="L232" s="92"/>
      <c r="M232" s="93"/>
      <c r="N232" s="100"/>
      <c r="O232" s="101"/>
      <c r="P232" s="101"/>
      <c r="Q232" s="102"/>
      <c r="R232" s="39"/>
      <c r="S232" s="39"/>
      <c r="T232" s="39"/>
      <c r="U232" s="109"/>
      <c r="V232" s="110"/>
      <c r="W232" s="110"/>
      <c r="X232" s="110"/>
      <c r="Y232" s="110"/>
      <c r="Z232" s="110"/>
      <c r="AA232" s="110"/>
      <c r="AB232" s="110"/>
      <c r="AC232" s="110"/>
      <c r="AD232" s="110"/>
      <c r="AE232" s="110"/>
      <c r="AF232" s="110"/>
      <c r="AG232" s="110"/>
      <c r="AH232" s="110"/>
      <c r="AI232" s="110"/>
      <c r="AJ232" s="111"/>
      <c r="AK232" s="50"/>
      <c r="AL232" s="50"/>
      <c r="AM232" s="149"/>
      <c r="AN232" s="149"/>
      <c r="AO232" s="149"/>
      <c r="AP232" s="149"/>
      <c r="AQ232" s="150"/>
      <c r="AR232" s="150"/>
      <c r="AS232" s="150"/>
      <c r="AT232" s="150"/>
      <c r="AU232" s="158"/>
      <c r="AV232" s="159"/>
      <c r="AW232" s="159"/>
      <c r="AX232" s="160"/>
      <c r="AY232" s="150"/>
      <c r="AZ232" s="150"/>
      <c r="BA232" s="150"/>
      <c r="BB232" s="150"/>
      <c r="BC232" s="40"/>
      <c r="BD232" s="35"/>
      <c r="BE232" s="82"/>
      <c r="BF232" s="83"/>
      <c r="BG232" s="83"/>
      <c r="BH232" s="83"/>
      <c r="BI232" s="82"/>
      <c r="BJ232" s="83"/>
      <c r="BK232" s="83"/>
      <c r="BL232" s="83"/>
      <c r="BM232" s="82"/>
      <c r="BN232" s="83"/>
      <c r="BO232" s="83"/>
      <c r="BP232" s="86"/>
      <c r="BQ232" s="38"/>
      <c r="BR232" s="25"/>
    </row>
    <row r="233" spans="1:70" ht="15.6" customHeight="1" x14ac:dyDescent="0.4">
      <c r="A233" s="25"/>
      <c r="B233" s="25"/>
      <c r="C233" s="33"/>
      <c r="D233" s="91"/>
      <c r="E233" s="92"/>
      <c r="F233" s="92"/>
      <c r="G233" s="92"/>
      <c r="H233" s="92"/>
      <c r="I233" s="92"/>
      <c r="J233" s="92"/>
      <c r="K233" s="92"/>
      <c r="L233" s="92"/>
      <c r="M233" s="93"/>
      <c r="N233" s="100"/>
      <c r="O233" s="101"/>
      <c r="P233" s="101"/>
      <c r="Q233" s="102"/>
      <c r="R233" s="39"/>
      <c r="S233" s="39"/>
      <c r="T233" s="39"/>
      <c r="U233" s="109"/>
      <c r="V233" s="110"/>
      <c r="W233" s="110"/>
      <c r="X233" s="110"/>
      <c r="Y233" s="110"/>
      <c r="Z233" s="110"/>
      <c r="AA233" s="110"/>
      <c r="AB233" s="110"/>
      <c r="AC233" s="110"/>
      <c r="AD233" s="110"/>
      <c r="AE233" s="110"/>
      <c r="AF233" s="110"/>
      <c r="AG233" s="110"/>
      <c r="AH233" s="110"/>
      <c r="AI233" s="110"/>
      <c r="AJ233" s="111"/>
      <c r="AK233" s="50"/>
      <c r="AL233" s="50"/>
      <c r="AM233" s="149" t="s">
        <v>64</v>
      </c>
      <c r="AN233" s="149"/>
      <c r="AO233" s="149"/>
      <c r="AP233" s="149"/>
      <c r="AQ233" s="150" t="str">
        <f>IF([6]回答表!X46="○",[6]回答表!BC376,IF([6]回答表!AA46="○",[6]回答表!BC390,""))</f>
        <v/>
      </c>
      <c r="AR233" s="150"/>
      <c r="AS233" s="150"/>
      <c r="AT233" s="150"/>
      <c r="AU233" s="158"/>
      <c r="AV233" s="159"/>
      <c r="AW233" s="159"/>
      <c r="AX233" s="160"/>
      <c r="AY233" s="150"/>
      <c r="AZ233" s="150"/>
      <c r="BA233" s="150"/>
      <c r="BB233" s="150"/>
      <c r="BC233" s="40"/>
      <c r="BD233" s="35"/>
      <c r="BE233" s="82"/>
      <c r="BF233" s="83"/>
      <c r="BG233" s="83"/>
      <c r="BH233" s="83"/>
      <c r="BI233" s="82"/>
      <c r="BJ233" s="83"/>
      <c r="BK233" s="83"/>
      <c r="BL233" s="83"/>
      <c r="BM233" s="82"/>
      <c r="BN233" s="83"/>
      <c r="BO233" s="83"/>
      <c r="BP233" s="86"/>
      <c r="BQ233" s="38"/>
      <c r="BR233" s="25"/>
    </row>
    <row r="234" spans="1:70" ht="15.6" customHeight="1" x14ac:dyDescent="0.4">
      <c r="A234" s="25"/>
      <c r="B234" s="25"/>
      <c r="C234" s="33"/>
      <c r="D234" s="94"/>
      <c r="E234" s="95"/>
      <c r="F234" s="95"/>
      <c r="G234" s="95"/>
      <c r="H234" s="95"/>
      <c r="I234" s="95"/>
      <c r="J234" s="95"/>
      <c r="K234" s="95"/>
      <c r="L234" s="95"/>
      <c r="M234" s="96"/>
      <c r="N234" s="103"/>
      <c r="O234" s="104"/>
      <c r="P234" s="104"/>
      <c r="Q234" s="105"/>
      <c r="R234" s="39"/>
      <c r="S234" s="39"/>
      <c r="T234" s="39"/>
      <c r="U234" s="109"/>
      <c r="V234" s="110"/>
      <c r="W234" s="110"/>
      <c r="X234" s="110"/>
      <c r="Y234" s="110"/>
      <c r="Z234" s="110"/>
      <c r="AA234" s="110"/>
      <c r="AB234" s="110"/>
      <c r="AC234" s="110"/>
      <c r="AD234" s="110"/>
      <c r="AE234" s="110"/>
      <c r="AF234" s="110"/>
      <c r="AG234" s="110"/>
      <c r="AH234" s="110"/>
      <c r="AI234" s="110"/>
      <c r="AJ234" s="111"/>
      <c r="AK234" s="50"/>
      <c r="AL234" s="50"/>
      <c r="AM234" s="149"/>
      <c r="AN234" s="149"/>
      <c r="AO234" s="149"/>
      <c r="AP234" s="149"/>
      <c r="AQ234" s="150"/>
      <c r="AR234" s="150"/>
      <c r="AS234" s="150"/>
      <c r="AT234" s="150"/>
      <c r="AU234" s="158"/>
      <c r="AV234" s="159"/>
      <c r="AW234" s="159"/>
      <c r="AX234" s="160"/>
      <c r="AY234" s="150"/>
      <c r="AZ234" s="150"/>
      <c r="BA234" s="150"/>
      <c r="BB234" s="150"/>
      <c r="BC234" s="40"/>
      <c r="BD234" s="35"/>
      <c r="BE234" s="82" t="str">
        <f>IF([6]回答表!X46="○",[6]回答表!V374,IF([6]回答表!AA46="○",[6]回答表!V388,""))</f>
        <v/>
      </c>
      <c r="BF234" s="83"/>
      <c r="BG234" s="83"/>
      <c r="BH234" s="83"/>
      <c r="BI234" s="82" t="str">
        <f>IF([6]回答表!X46="○",[6]回答表!V375,IF([6]回答表!AA46="○",[6]回答表!V389,""))</f>
        <v/>
      </c>
      <c r="BJ234" s="83"/>
      <c r="BK234" s="83"/>
      <c r="BL234" s="86"/>
      <c r="BM234" s="82" t="str">
        <f>IF([6]回答表!X46="○",[6]回答表!V376,IF([6]回答表!AA46="○",[6]回答表!V390,""))</f>
        <v/>
      </c>
      <c r="BN234" s="83"/>
      <c r="BO234" s="83"/>
      <c r="BP234" s="86"/>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09"/>
      <c r="V235" s="110"/>
      <c r="W235" s="110"/>
      <c r="X235" s="110"/>
      <c r="Y235" s="110"/>
      <c r="Z235" s="110"/>
      <c r="AA235" s="110"/>
      <c r="AB235" s="110"/>
      <c r="AC235" s="110"/>
      <c r="AD235" s="110"/>
      <c r="AE235" s="110"/>
      <c r="AF235" s="110"/>
      <c r="AG235" s="110"/>
      <c r="AH235" s="110"/>
      <c r="AI235" s="110"/>
      <c r="AJ235" s="111"/>
      <c r="AK235" s="50"/>
      <c r="AL235" s="50"/>
      <c r="AM235" s="149" t="s">
        <v>65</v>
      </c>
      <c r="AN235" s="149"/>
      <c r="AO235" s="149"/>
      <c r="AP235" s="149"/>
      <c r="AQ235" s="150" t="str">
        <f>IF([6]回答表!X46="○",[6]回答表!BC377,IF([6]回答表!AA46="○",[6]回答表!BC391,""))</f>
        <v/>
      </c>
      <c r="AR235" s="150"/>
      <c r="AS235" s="150"/>
      <c r="AT235" s="150"/>
      <c r="AU235" s="161"/>
      <c r="AV235" s="162"/>
      <c r="AW235" s="162"/>
      <c r="AX235" s="163"/>
      <c r="AY235" s="150"/>
      <c r="AZ235" s="150"/>
      <c r="BA235" s="150"/>
      <c r="BB235" s="150"/>
      <c r="BC235" s="40"/>
      <c r="BD235" s="40"/>
      <c r="BE235" s="82"/>
      <c r="BF235" s="83"/>
      <c r="BG235" s="83"/>
      <c r="BH235" s="83"/>
      <c r="BI235" s="82"/>
      <c r="BJ235" s="83"/>
      <c r="BK235" s="83"/>
      <c r="BL235" s="86"/>
      <c r="BM235" s="82"/>
      <c r="BN235" s="83"/>
      <c r="BO235" s="83"/>
      <c r="BP235" s="86"/>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09"/>
      <c r="V236" s="110"/>
      <c r="W236" s="110"/>
      <c r="X236" s="110"/>
      <c r="Y236" s="110"/>
      <c r="Z236" s="110"/>
      <c r="AA236" s="110"/>
      <c r="AB236" s="110"/>
      <c r="AC236" s="110"/>
      <c r="AD236" s="110"/>
      <c r="AE236" s="110"/>
      <c r="AF236" s="110"/>
      <c r="AG236" s="110"/>
      <c r="AH236" s="110"/>
      <c r="AI236" s="110"/>
      <c r="AJ236" s="111"/>
      <c r="AK236" s="50"/>
      <c r="AL236" s="50"/>
      <c r="AM236" s="149"/>
      <c r="AN236" s="149"/>
      <c r="AO236" s="149"/>
      <c r="AP236" s="149"/>
      <c r="AQ236" s="150"/>
      <c r="AR236" s="150"/>
      <c r="AS236" s="150"/>
      <c r="AT236" s="150"/>
      <c r="AU236" s="149" t="s">
        <v>66</v>
      </c>
      <c r="AV236" s="149"/>
      <c r="AW236" s="149"/>
      <c r="AX236" s="149"/>
      <c r="AY236" s="151" t="str">
        <f>IF([6]回答表!X46="○",[6]回答表!BC381,IF([6]回答表!AA46="○",[6]回答表!BC395,""))</f>
        <v/>
      </c>
      <c r="AZ236" s="151"/>
      <c r="BA236" s="151"/>
      <c r="BB236" s="151"/>
      <c r="BC236" s="40"/>
      <c r="BD236" s="35"/>
      <c r="BE236" s="82"/>
      <c r="BF236" s="83"/>
      <c r="BG236" s="83"/>
      <c r="BH236" s="83"/>
      <c r="BI236" s="82"/>
      <c r="BJ236" s="83"/>
      <c r="BK236" s="83"/>
      <c r="BL236" s="86"/>
      <c r="BM236" s="82"/>
      <c r="BN236" s="83"/>
      <c r="BO236" s="83"/>
      <c r="BP236" s="86"/>
      <c r="BQ236" s="38"/>
      <c r="BR236" s="25"/>
    </row>
    <row r="237" spans="1:70" ht="15.6" customHeight="1" x14ac:dyDescent="0.4">
      <c r="A237" s="25"/>
      <c r="B237" s="25"/>
      <c r="C237" s="33"/>
      <c r="D237" s="140" t="s">
        <v>26</v>
      </c>
      <c r="E237" s="141"/>
      <c r="F237" s="141"/>
      <c r="G237" s="141"/>
      <c r="H237" s="141"/>
      <c r="I237" s="141"/>
      <c r="J237" s="141"/>
      <c r="K237" s="141"/>
      <c r="L237" s="141"/>
      <c r="M237" s="142"/>
      <c r="N237" s="97" t="str">
        <f>IF([6]回答表!AA46="○","○","")</f>
        <v/>
      </c>
      <c r="O237" s="98"/>
      <c r="P237" s="98"/>
      <c r="Q237" s="99"/>
      <c r="R237" s="39"/>
      <c r="S237" s="39"/>
      <c r="T237" s="39"/>
      <c r="U237" s="109"/>
      <c r="V237" s="110"/>
      <c r="W237" s="110"/>
      <c r="X237" s="110"/>
      <c r="Y237" s="110"/>
      <c r="Z237" s="110"/>
      <c r="AA237" s="110"/>
      <c r="AB237" s="110"/>
      <c r="AC237" s="110"/>
      <c r="AD237" s="110"/>
      <c r="AE237" s="110"/>
      <c r="AF237" s="110"/>
      <c r="AG237" s="110"/>
      <c r="AH237" s="110"/>
      <c r="AI237" s="110"/>
      <c r="AJ237" s="111"/>
      <c r="AK237" s="50"/>
      <c r="AL237" s="50"/>
      <c r="AM237" s="149" t="s">
        <v>67</v>
      </c>
      <c r="AN237" s="149"/>
      <c r="AO237" s="149"/>
      <c r="AP237" s="149"/>
      <c r="AQ237" s="152" t="str">
        <f>IF([6]回答表!X46="○",[6]回答表!BC378,IF([6]回答表!AA46="○",[6]回答表!BC392,""))</f>
        <v/>
      </c>
      <c r="AR237" s="150"/>
      <c r="AS237" s="150"/>
      <c r="AT237" s="150"/>
      <c r="AU237" s="149"/>
      <c r="AV237" s="149"/>
      <c r="AW237" s="149"/>
      <c r="AX237" s="149"/>
      <c r="AY237" s="151"/>
      <c r="AZ237" s="151"/>
      <c r="BA237" s="151"/>
      <c r="BB237" s="151"/>
      <c r="BC237" s="40"/>
      <c r="BD237" s="54"/>
      <c r="BE237" s="82"/>
      <c r="BF237" s="83"/>
      <c r="BG237" s="83"/>
      <c r="BH237" s="83"/>
      <c r="BI237" s="82"/>
      <c r="BJ237" s="83"/>
      <c r="BK237" s="83"/>
      <c r="BL237" s="86"/>
      <c r="BM237" s="82"/>
      <c r="BN237" s="83"/>
      <c r="BO237" s="83"/>
      <c r="BP237" s="86"/>
      <c r="BQ237" s="38"/>
      <c r="BR237" s="25"/>
    </row>
    <row r="238" spans="1:70" ht="15.6" customHeight="1" x14ac:dyDescent="0.4">
      <c r="A238" s="25"/>
      <c r="B238" s="25"/>
      <c r="C238" s="33"/>
      <c r="D238" s="143"/>
      <c r="E238" s="144"/>
      <c r="F238" s="144"/>
      <c r="G238" s="144"/>
      <c r="H238" s="144"/>
      <c r="I238" s="144"/>
      <c r="J238" s="144"/>
      <c r="K238" s="144"/>
      <c r="L238" s="144"/>
      <c r="M238" s="145"/>
      <c r="N238" s="100"/>
      <c r="O238" s="101"/>
      <c r="P238" s="101"/>
      <c r="Q238" s="102"/>
      <c r="R238" s="39"/>
      <c r="S238" s="39"/>
      <c r="T238" s="39"/>
      <c r="U238" s="109"/>
      <c r="V238" s="110"/>
      <c r="W238" s="110"/>
      <c r="X238" s="110"/>
      <c r="Y238" s="110"/>
      <c r="Z238" s="110"/>
      <c r="AA238" s="110"/>
      <c r="AB238" s="110"/>
      <c r="AC238" s="110"/>
      <c r="AD238" s="110"/>
      <c r="AE238" s="110"/>
      <c r="AF238" s="110"/>
      <c r="AG238" s="110"/>
      <c r="AH238" s="110"/>
      <c r="AI238" s="110"/>
      <c r="AJ238" s="111"/>
      <c r="AK238" s="50"/>
      <c r="AL238" s="50"/>
      <c r="AM238" s="149"/>
      <c r="AN238" s="149"/>
      <c r="AO238" s="149"/>
      <c r="AP238" s="149"/>
      <c r="AQ238" s="150"/>
      <c r="AR238" s="150"/>
      <c r="AS238" s="150"/>
      <c r="AT238" s="150"/>
      <c r="AU238" s="149"/>
      <c r="AV238" s="149"/>
      <c r="AW238" s="149"/>
      <c r="AX238" s="149"/>
      <c r="AY238" s="151"/>
      <c r="AZ238" s="151"/>
      <c r="BA238" s="151"/>
      <c r="BB238" s="151"/>
      <c r="BC238" s="40"/>
      <c r="BD238" s="54"/>
      <c r="BE238" s="82" t="s">
        <v>23</v>
      </c>
      <c r="BF238" s="83"/>
      <c r="BG238" s="83"/>
      <c r="BH238" s="83"/>
      <c r="BI238" s="82" t="s">
        <v>24</v>
      </c>
      <c r="BJ238" s="83"/>
      <c r="BK238" s="83"/>
      <c r="BL238" s="83"/>
      <c r="BM238" s="82" t="s">
        <v>25</v>
      </c>
      <c r="BN238" s="83"/>
      <c r="BO238" s="83"/>
      <c r="BP238" s="86"/>
      <c r="BQ238" s="38"/>
      <c r="BR238" s="25"/>
    </row>
    <row r="239" spans="1:70" ht="15.6" customHeight="1" x14ac:dyDescent="0.4">
      <c r="A239" s="25"/>
      <c r="B239" s="25"/>
      <c r="C239" s="33"/>
      <c r="D239" s="143"/>
      <c r="E239" s="144"/>
      <c r="F239" s="144"/>
      <c r="G239" s="144"/>
      <c r="H239" s="144"/>
      <c r="I239" s="144"/>
      <c r="J239" s="144"/>
      <c r="K239" s="144"/>
      <c r="L239" s="144"/>
      <c r="M239" s="145"/>
      <c r="N239" s="100"/>
      <c r="O239" s="101"/>
      <c r="P239" s="101"/>
      <c r="Q239" s="102"/>
      <c r="R239" s="39"/>
      <c r="S239" s="39"/>
      <c r="T239" s="39"/>
      <c r="U239" s="109"/>
      <c r="V239" s="110"/>
      <c r="W239" s="110"/>
      <c r="X239" s="110"/>
      <c r="Y239" s="110"/>
      <c r="Z239" s="110"/>
      <c r="AA239" s="110"/>
      <c r="AB239" s="110"/>
      <c r="AC239" s="110"/>
      <c r="AD239" s="110"/>
      <c r="AE239" s="110"/>
      <c r="AF239" s="110"/>
      <c r="AG239" s="110"/>
      <c r="AH239" s="110"/>
      <c r="AI239" s="110"/>
      <c r="AJ239" s="111"/>
      <c r="AK239" s="50"/>
      <c r="AL239" s="50"/>
      <c r="AM239" s="149" t="s">
        <v>68</v>
      </c>
      <c r="AN239" s="149"/>
      <c r="AO239" s="149"/>
      <c r="AP239" s="149"/>
      <c r="AQ239" s="150" t="str">
        <f>IF([6]回答表!X46="○",[6]回答表!BC379,IF([6]回答表!AA46="○",[6]回答表!BC393,""))</f>
        <v/>
      </c>
      <c r="AR239" s="150"/>
      <c r="AS239" s="150"/>
      <c r="AT239" s="150"/>
      <c r="AU239" s="149"/>
      <c r="AV239" s="149"/>
      <c r="AW239" s="149"/>
      <c r="AX239" s="149"/>
      <c r="AY239" s="151"/>
      <c r="AZ239" s="151"/>
      <c r="BA239" s="151"/>
      <c r="BB239" s="151"/>
      <c r="BC239" s="40"/>
      <c r="BD239" s="54"/>
      <c r="BE239" s="82"/>
      <c r="BF239" s="83"/>
      <c r="BG239" s="83"/>
      <c r="BH239" s="83"/>
      <c r="BI239" s="82"/>
      <c r="BJ239" s="83"/>
      <c r="BK239" s="83"/>
      <c r="BL239" s="83"/>
      <c r="BM239" s="82"/>
      <c r="BN239" s="83"/>
      <c r="BO239" s="83"/>
      <c r="BP239" s="86"/>
      <c r="BQ239" s="38"/>
      <c r="BR239" s="25"/>
    </row>
    <row r="240" spans="1:70" ht="15.6" customHeight="1" x14ac:dyDescent="0.4">
      <c r="A240" s="25"/>
      <c r="B240" s="25"/>
      <c r="C240" s="33"/>
      <c r="D240" s="146"/>
      <c r="E240" s="147"/>
      <c r="F240" s="147"/>
      <c r="G240" s="147"/>
      <c r="H240" s="147"/>
      <c r="I240" s="147"/>
      <c r="J240" s="147"/>
      <c r="K240" s="147"/>
      <c r="L240" s="147"/>
      <c r="M240" s="148"/>
      <c r="N240" s="103"/>
      <c r="O240" s="104"/>
      <c r="P240" s="104"/>
      <c r="Q240" s="105"/>
      <c r="R240" s="39"/>
      <c r="S240" s="39"/>
      <c r="T240" s="39"/>
      <c r="U240" s="112"/>
      <c r="V240" s="113"/>
      <c r="W240" s="113"/>
      <c r="X240" s="113"/>
      <c r="Y240" s="113"/>
      <c r="Z240" s="113"/>
      <c r="AA240" s="113"/>
      <c r="AB240" s="113"/>
      <c r="AC240" s="113"/>
      <c r="AD240" s="113"/>
      <c r="AE240" s="113"/>
      <c r="AF240" s="113"/>
      <c r="AG240" s="113"/>
      <c r="AH240" s="113"/>
      <c r="AI240" s="113"/>
      <c r="AJ240" s="114"/>
      <c r="AK240" s="50"/>
      <c r="AL240" s="50"/>
      <c r="AM240" s="149"/>
      <c r="AN240" s="149"/>
      <c r="AO240" s="149"/>
      <c r="AP240" s="149"/>
      <c r="AQ240" s="150"/>
      <c r="AR240" s="150"/>
      <c r="AS240" s="150"/>
      <c r="AT240" s="150"/>
      <c r="AU240" s="149"/>
      <c r="AV240" s="149"/>
      <c r="AW240" s="149"/>
      <c r="AX240" s="149"/>
      <c r="AY240" s="151"/>
      <c r="AZ240" s="151"/>
      <c r="BA240" s="151"/>
      <c r="BB240" s="151"/>
      <c r="BC240" s="40"/>
      <c r="BD240" s="54"/>
      <c r="BE240" s="84"/>
      <c r="BF240" s="85"/>
      <c r="BG240" s="85"/>
      <c r="BH240" s="85"/>
      <c r="BI240" s="84"/>
      <c r="BJ240" s="85"/>
      <c r="BK240" s="85"/>
      <c r="BL240" s="85"/>
      <c r="BM240" s="84"/>
      <c r="BN240" s="85"/>
      <c r="BO240" s="85"/>
      <c r="BP240" s="87"/>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88" t="s">
        <v>34</v>
      </c>
      <c r="E243" s="89"/>
      <c r="F243" s="89"/>
      <c r="G243" s="89"/>
      <c r="H243" s="89"/>
      <c r="I243" s="89"/>
      <c r="J243" s="89"/>
      <c r="K243" s="89"/>
      <c r="L243" s="89"/>
      <c r="M243" s="90"/>
      <c r="N243" s="97" t="str">
        <f>IF([6]回答表!AD46="○","○","")</f>
        <v/>
      </c>
      <c r="O243" s="98"/>
      <c r="P243" s="98"/>
      <c r="Q243" s="99"/>
      <c r="R243" s="39"/>
      <c r="S243" s="39"/>
      <c r="T243" s="39"/>
      <c r="U243" s="106" t="str">
        <f>IF([6]回答表!AD46="○",[6]回答表!B396,"")</f>
        <v/>
      </c>
      <c r="V243" s="107"/>
      <c r="W243" s="107"/>
      <c r="X243" s="107"/>
      <c r="Y243" s="107"/>
      <c r="Z243" s="107"/>
      <c r="AA243" s="107"/>
      <c r="AB243" s="107"/>
      <c r="AC243" s="107"/>
      <c r="AD243" s="107"/>
      <c r="AE243" s="107"/>
      <c r="AF243" s="107"/>
      <c r="AG243" s="107"/>
      <c r="AH243" s="107"/>
      <c r="AI243" s="107"/>
      <c r="AJ243" s="108"/>
      <c r="AK243" s="56"/>
      <c r="AL243" s="56"/>
      <c r="AM243" s="106" t="str">
        <f>IF([6]回答表!AD46="○",[6]回答表!B402,"")</f>
        <v/>
      </c>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8"/>
      <c r="BQ243" s="38"/>
      <c r="BR243" s="25"/>
    </row>
    <row r="244" spans="1:70" ht="15.6" customHeight="1" x14ac:dyDescent="0.4">
      <c r="C244" s="33"/>
      <c r="D244" s="91"/>
      <c r="E244" s="92"/>
      <c r="F244" s="92"/>
      <c r="G244" s="92"/>
      <c r="H244" s="92"/>
      <c r="I244" s="92"/>
      <c r="J244" s="92"/>
      <c r="K244" s="92"/>
      <c r="L244" s="92"/>
      <c r="M244" s="93"/>
      <c r="N244" s="100"/>
      <c r="O244" s="101"/>
      <c r="P244" s="101"/>
      <c r="Q244" s="102"/>
      <c r="R244" s="39"/>
      <c r="S244" s="39"/>
      <c r="T244" s="39"/>
      <c r="U244" s="109"/>
      <c r="V244" s="110"/>
      <c r="W244" s="110"/>
      <c r="X244" s="110"/>
      <c r="Y244" s="110"/>
      <c r="Z244" s="110"/>
      <c r="AA244" s="110"/>
      <c r="AB244" s="110"/>
      <c r="AC244" s="110"/>
      <c r="AD244" s="110"/>
      <c r="AE244" s="110"/>
      <c r="AF244" s="110"/>
      <c r="AG244" s="110"/>
      <c r="AH244" s="110"/>
      <c r="AI244" s="110"/>
      <c r="AJ244" s="111"/>
      <c r="AK244" s="56"/>
      <c r="AL244" s="56"/>
      <c r="AM244" s="109"/>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1"/>
      <c r="BQ244" s="38"/>
    </row>
    <row r="245" spans="1:70" ht="15.6" customHeight="1" x14ac:dyDescent="0.4">
      <c r="C245" s="33"/>
      <c r="D245" s="91"/>
      <c r="E245" s="92"/>
      <c r="F245" s="92"/>
      <c r="G245" s="92"/>
      <c r="H245" s="92"/>
      <c r="I245" s="92"/>
      <c r="J245" s="92"/>
      <c r="K245" s="92"/>
      <c r="L245" s="92"/>
      <c r="M245" s="93"/>
      <c r="N245" s="100"/>
      <c r="O245" s="101"/>
      <c r="P245" s="101"/>
      <c r="Q245" s="102"/>
      <c r="R245" s="39"/>
      <c r="S245" s="39"/>
      <c r="T245" s="39"/>
      <c r="U245" s="109"/>
      <c r="V245" s="110"/>
      <c r="W245" s="110"/>
      <c r="X245" s="110"/>
      <c r="Y245" s="110"/>
      <c r="Z245" s="110"/>
      <c r="AA245" s="110"/>
      <c r="AB245" s="110"/>
      <c r="AC245" s="110"/>
      <c r="AD245" s="110"/>
      <c r="AE245" s="110"/>
      <c r="AF245" s="110"/>
      <c r="AG245" s="110"/>
      <c r="AH245" s="110"/>
      <c r="AI245" s="110"/>
      <c r="AJ245" s="111"/>
      <c r="AK245" s="56"/>
      <c r="AL245" s="56"/>
      <c r="AM245" s="109"/>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1"/>
      <c r="BQ245" s="38"/>
    </row>
    <row r="246" spans="1:70" ht="15.6" customHeight="1" x14ac:dyDescent="0.4">
      <c r="C246" s="33"/>
      <c r="D246" s="94"/>
      <c r="E246" s="95"/>
      <c r="F246" s="95"/>
      <c r="G246" s="95"/>
      <c r="H246" s="95"/>
      <c r="I246" s="95"/>
      <c r="J246" s="95"/>
      <c r="K246" s="95"/>
      <c r="L246" s="95"/>
      <c r="M246" s="96"/>
      <c r="N246" s="103"/>
      <c r="O246" s="104"/>
      <c r="P246" s="104"/>
      <c r="Q246" s="105"/>
      <c r="R246" s="39"/>
      <c r="S246" s="39"/>
      <c r="T246" s="39"/>
      <c r="U246" s="112"/>
      <c r="V246" s="113"/>
      <c r="W246" s="113"/>
      <c r="X246" s="113"/>
      <c r="Y246" s="113"/>
      <c r="Z246" s="113"/>
      <c r="AA246" s="113"/>
      <c r="AB246" s="113"/>
      <c r="AC246" s="113"/>
      <c r="AD246" s="113"/>
      <c r="AE246" s="113"/>
      <c r="AF246" s="113"/>
      <c r="AG246" s="113"/>
      <c r="AH246" s="113"/>
      <c r="AI246" s="113"/>
      <c r="AJ246" s="114"/>
      <c r="AK246" s="56"/>
      <c r="AL246" s="56"/>
      <c r="AM246" s="112"/>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4"/>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7"/>
      <c r="AS249" s="127"/>
      <c r="AT249" s="127"/>
      <c r="AU249" s="127"/>
      <c r="AV249" s="127"/>
      <c r="AW249" s="127"/>
      <c r="AX249" s="127"/>
      <c r="AY249" s="127"/>
      <c r="AZ249" s="127"/>
      <c r="BA249" s="127"/>
      <c r="BB249" s="127"/>
      <c r="BC249" s="29"/>
      <c r="BD249" s="30"/>
      <c r="BE249" s="30"/>
      <c r="BF249" s="30"/>
      <c r="BG249" s="30"/>
      <c r="BH249" s="30"/>
      <c r="BI249" s="30"/>
      <c r="BJ249" s="30"/>
      <c r="BK249" s="30"/>
      <c r="BL249" s="30"/>
      <c r="BM249" s="30"/>
      <c r="BN249" s="30"/>
      <c r="BO249" s="30"/>
      <c r="BP249" s="30"/>
      <c r="BQ249" s="31"/>
    </row>
    <row r="250" spans="1:70" ht="15.6" customHeight="1" x14ac:dyDescent="0.5">
      <c r="C250" s="33"/>
      <c r="D250" s="128" t="s">
        <v>14</v>
      </c>
      <c r="E250" s="129"/>
      <c r="F250" s="129"/>
      <c r="G250" s="129"/>
      <c r="H250" s="129"/>
      <c r="I250" s="129"/>
      <c r="J250" s="129"/>
      <c r="K250" s="129"/>
      <c r="L250" s="129"/>
      <c r="M250" s="129"/>
      <c r="N250" s="129"/>
      <c r="O250" s="129"/>
      <c r="P250" s="129"/>
      <c r="Q250" s="130"/>
      <c r="R250" s="88" t="s">
        <v>69</v>
      </c>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90"/>
      <c r="BC250" s="34"/>
      <c r="BD250" s="35"/>
      <c r="BE250" s="35"/>
      <c r="BF250" s="35"/>
      <c r="BG250" s="35"/>
      <c r="BH250" s="35"/>
      <c r="BI250" s="35"/>
      <c r="BJ250" s="35"/>
      <c r="BK250" s="35"/>
      <c r="BL250" s="35"/>
      <c r="BM250" s="36"/>
      <c r="BN250" s="36"/>
      <c r="BO250" s="36"/>
      <c r="BP250" s="37"/>
      <c r="BQ250" s="38"/>
    </row>
    <row r="251" spans="1:70" ht="15.6" customHeight="1" x14ac:dyDescent="0.5">
      <c r="C251" s="33"/>
      <c r="D251" s="131"/>
      <c r="E251" s="132"/>
      <c r="F251" s="132"/>
      <c r="G251" s="132"/>
      <c r="H251" s="132"/>
      <c r="I251" s="132"/>
      <c r="J251" s="132"/>
      <c r="K251" s="132"/>
      <c r="L251" s="132"/>
      <c r="M251" s="132"/>
      <c r="N251" s="132"/>
      <c r="O251" s="132"/>
      <c r="P251" s="132"/>
      <c r="Q251" s="133"/>
      <c r="R251" s="94"/>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6"/>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88" t="s">
        <v>18</v>
      </c>
      <c r="E254" s="89"/>
      <c r="F254" s="89"/>
      <c r="G254" s="89"/>
      <c r="H254" s="89"/>
      <c r="I254" s="89"/>
      <c r="J254" s="89"/>
      <c r="K254" s="89"/>
      <c r="L254" s="89"/>
      <c r="M254" s="90"/>
      <c r="N254" s="97" t="str">
        <f>IF([6]回答表!X47="○","○","")</f>
        <v/>
      </c>
      <c r="O254" s="98"/>
      <c r="P254" s="98"/>
      <c r="Q254" s="99"/>
      <c r="R254" s="39"/>
      <c r="S254" s="39"/>
      <c r="T254" s="39"/>
      <c r="U254" s="106" t="str">
        <f>IF([6]回答表!X47="○",[6]回答表!B414,IF([6]回答表!AA47="○",[6]回答表!B431,""))</f>
        <v/>
      </c>
      <c r="V254" s="107"/>
      <c r="W254" s="107"/>
      <c r="X254" s="107"/>
      <c r="Y254" s="107"/>
      <c r="Z254" s="107"/>
      <c r="AA254" s="107"/>
      <c r="AB254" s="107"/>
      <c r="AC254" s="107"/>
      <c r="AD254" s="107"/>
      <c r="AE254" s="107"/>
      <c r="AF254" s="107"/>
      <c r="AG254" s="107"/>
      <c r="AH254" s="107"/>
      <c r="AI254" s="107"/>
      <c r="AJ254" s="108"/>
      <c r="AK254" s="50"/>
      <c r="AL254" s="50"/>
      <c r="AM254" s="134" t="s">
        <v>71</v>
      </c>
      <c r="AN254" s="135"/>
      <c r="AO254" s="135"/>
      <c r="AP254" s="135"/>
      <c r="AQ254" s="135"/>
      <c r="AR254" s="135"/>
      <c r="AS254" s="135"/>
      <c r="AT254" s="136"/>
      <c r="AU254" s="134" t="s">
        <v>72</v>
      </c>
      <c r="AV254" s="135"/>
      <c r="AW254" s="135"/>
      <c r="AX254" s="135"/>
      <c r="AY254" s="135"/>
      <c r="AZ254" s="135"/>
      <c r="BA254" s="135"/>
      <c r="BB254" s="136"/>
      <c r="BC254" s="40"/>
      <c r="BD254" s="35"/>
      <c r="BE254" s="115" t="str">
        <f>IF([6]回答表!X47="○",[6]回答表!B424,IF([6]回答表!AA47="○",[6]回答表!B441,""))</f>
        <v/>
      </c>
      <c r="BF254" s="116"/>
      <c r="BG254" s="116"/>
      <c r="BH254" s="116"/>
      <c r="BI254" s="115"/>
      <c r="BJ254" s="116"/>
      <c r="BK254" s="116"/>
      <c r="BL254" s="116"/>
      <c r="BM254" s="115"/>
      <c r="BN254" s="116"/>
      <c r="BO254" s="116"/>
      <c r="BP254" s="117"/>
      <c r="BQ254" s="38"/>
      <c r="BR254" s="25"/>
    </row>
    <row r="255" spans="1:70" ht="15.6" customHeight="1" x14ac:dyDescent="0.4">
      <c r="A255" s="25"/>
      <c r="B255" s="25"/>
      <c r="C255" s="33"/>
      <c r="D255" s="91"/>
      <c r="E255" s="92"/>
      <c r="F255" s="92"/>
      <c r="G255" s="92"/>
      <c r="H255" s="92"/>
      <c r="I255" s="92"/>
      <c r="J255" s="92"/>
      <c r="K255" s="92"/>
      <c r="L255" s="92"/>
      <c r="M255" s="93"/>
      <c r="N255" s="100"/>
      <c r="O255" s="101"/>
      <c r="P255" s="101"/>
      <c r="Q255" s="102"/>
      <c r="R255" s="39"/>
      <c r="S255" s="39"/>
      <c r="T255" s="39"/>
      <c r="U255" s="109"/>
      <c r="V255" s="110"/>
      <c r="W255" s="110"/>
      <c r="X255" s="110"/>
      <c r="Y255" s="110"/>
      <c r="Z255" s="110"/>
      <c r="AA255" s="110"/>
      <c r="AB255" s="110"/>
      <c r="AC255" s="110"/>
      <c r="AD255" s="110"/>
      <c r="AE255" s="110"/>
      <c r="AF255" s="110"/>
      <c r="AG255" s="110"/>
      <c r="AH255" s="110"/>
      <c r="AI255" s="110"/>
      <c r="AJ255" s="111"/>
      <c r="AK255" s="50"/>
      <c r="AL255" s="50"/>
      <c r="AM255" s="137"/>
      <c r="AN255" s="138"/>
      <c r="AO255" s="138"/>
      <c r="AP255" s="138"/>
      <c r="AQ255" s="138"/>
      <c r="AR255" s="138"/>
      <c r="AS255" s="138"/>
      <c r="AT255" s="139"/>
      <c r="AU255" s="137"/>
      <c r="AV255" s="138"/>
      <c r="AW255" s="138"/>
      <c r="AX255" s="138"/>
      <c r="AY255" s="138"/>
      <c r="AZ255" s="138"/>
      <c r="BA255" s="138"/>
      <c r="BB255" s="139"/>
      <c r="BC255" s="40"/>
      <c r="BD255" s="35"/>
      <c r="BE255" s="82"/>
      <c r="BF255" s="83"/>
      <c r="BG255" s="83"/>
      <c r="BH255" s="83"/>
      <c r="BI255" s="82"/>
      <c r="BJ255" s="83"/>
      <c r="BK255" s="83"/>
      <c r="BL255" s="83"/>
      <c r="BM255" s="82"/>
      <c r="BN255" s="83"/>
      <c r="BO255" s="83"/>
      <c r="BP255" s="86"/>
      <c r="BQ255" s="38"/>
      <c r="BR255" s="25"/>
    </row>
    <row r="256" spans="1:70" ht="15.6" customHeight="1" x14ac:dyDescent="0.4">
      <c r="A256" s="25"/>
      <c r="B256" s="25"/>
      <c r="C256" s="33"/>
      <c r="D256" s="91"/>
      <c r="E256" s="92"/>
      <c r="F256" s="92"/>
      <c r="G256" s="92"/>
      <c r="H256" s="92"/>
      <c r="I256" s="92"/>
      <c r="J256" s="92"/>
      <c r="K256" s="92"/>
      <c r="L256" s="92"/>
      <c r="M256" s="93"/>
      <c r="N256" s="100"/>
      <c r="O256" s="101"/>
      <c r="P256" s="101"/>
      <c r="Q256" s="102"/>
      <c r="R256" s="39"/>
      <c r="S256" s="39"/>
      <c r="T256" s="39"/>
      <c r="U256" s="109"/>
      <c r="V256" s="110"/>
      <c r="W256" s="110"/>
      <c r="X256" s="110"/>
      <c r="Y256" s="110"/>
      <c r="Z256" s="110"/>
      <c r="AA256" s="110"/>
      <c r="AB256" s="110"/>
      <c r="AC256" s="110"/>
      <c r="AD256" s="110"/>
      <c r="AE256" s="110"/>
      <c r="AF256" s="110"/>
      <c r="AG256" s="110"/>
      <c r="AH256" s="110"/>
      <c r="AI256" s="110"/>
      <c r="AJ256" s="111"/>
      <c r="AK256" s="50"/>
      <c r="AL256" s="50"/>
      <c r="AM256" s="118" t="str">
        <f>IF([6]回答表!X47="○",[6]回答表!G420,IF([6]回答表!AA47="○",[6]回答表!G437,""))</f>
        <v/>
      </c>
      <c r="AN256" s="119"/>
      <c r="AO256" s="119"/>
      <c r="AP256" s="119"/>
      <c r="AQ256" s="119"/>
      <c r="AR256" s="119"/>
      <c r="AS256" s="119"/>
      <c r="AT256" s="120"/>
      <c r="AU256" s="118" t="str">
        <f>IF([6]回答表!X47="○",[6]回答表!G421,IF([6]回答表!AA47="○",[6]回答表!G438,""))</f>
        <v/>
      </c>
      <c r="AV256" s="119"/>
      <c r="AW256" s="119"/>
      <c r="AX256" s="119"/>
      <c r="AY256" s="119"/>
      <c r="AZ256" s="119"/>
      <c r="BA256" s="119"/>
      <c r="BB256" s="120"/>
      <c r="BC256" s="40"/>
      <c r="BD256" s="35"/>
      <c r="BE256" s="82"/>
      <c r="BF256" s="83"/>
      <c r="BG256" s="83"/>
      <c r="BH256" s="83"/>
      <c r="BI256" s="82"/>
      <c r="BJ256" s="83"/>
      <c r="BK256" s="83"/>
      <c r="BL256" s="83"/>
      <c r="BM256" s="82"/>
      <c r="BN256" s="83"/>
      <c r="BO256" s="83"/>
      <c r="BP256" s="86"/>
      <c r="BQ256" s="38"/>
      <c r="BR256" s="25"/>
    </row>
    <row r="257" spans="1:70" ht="15.6" customHeight="1" x14ac:dyDescent="0.4">
      <c r="A257" s="25"/>
      <c r="B257" s="25"/>
      <c r="C257" s="33"/>
      <c r="D257" s="94"/>
      <c r="E257" s="95"/>
      <c r="F257" s="95"/>
      <c r="G257" s="95"/>
      <c r="H257" s="95"/>
      <c r="I257" s="95"/>
      <c r="J257" s="95"/>
      <c r="K257" s="95"/>
      <c r="L257" s="95"/>
      <c r="M257" s="96"/>
      <c r="N257" s="103"/>
      <c r="O257" s="104"/>
      <c r="P257" s="104"/>
      <c r="Q257" s="105"/>
      <c r="R257" s="39"/>
      <c r="S257" s="39"/>
      <c r="T257" s="39"/>
      <c r="U257" s="109"/>
      <c r="V257" s="110"/>
      <c r="W257" s="110"/>
      <c r="X257" s="110"/>
      <c r="Y257" s="110"/>
      <c r="Z257" s="110"/>
      <c r="AA257" s="110"/>
      <c r="AB257" s="110"/>
      <c r="AC257" s="110"/>
      <c r="AD257" s="110"/>
      <c r="AE257" s="110"/>
      <c r="AF257" s="110"/>
      <c r="AG257" s="110"/>
      <c r="AH257" s="110"/>
      <c r="AI257" s="110"/>
      <c r="AJ257" s="111"/>
      <c r="AK257" s="50"/>
      <c r="AL257" s="50"/>
      <c r="AM257" s="121"/>
      <c r="AN257" s="122"/>
      <c r="AO257" s="122"/>
      <c r="AP257" s="122"/>
      <c r="AQ257" s="122"/>
      <c r="AR257" s="122"/>
      <c r="AS257" s="122"/>
      <c r="AT257" s="123"/>
      <c r="AU257" s="121"/>
      <c r="AV257" s="122"/>
      <c r="AW257" s="122"/>
      <c r="AX257" s="122"/>
      <c r="AY257" s="122"/>
      <c r="AZ257" s="122"/>
      <c r="BA257" s="122"/>
      <c r="BB257" s="123"/>
      <c r="BC257" s="40"/>
      <c r="BD257" s="35"/>
      <c r="BE257" s="82" t="str">
        <f>IF([6]回答表!X47="○",[6]回答表!E424,IF([6]回答表!AA47="○",[6]回答表!E441,""))</f>
        <v/>
      </c>
      <c r="BF257" s="83"/>
      <c r="BG257" s="83"/>
      <c r="BH257" s="83"/>
      <c r="BI257" s="82" t="str">
        <f>IF([6]回答表!X47="○",[6]回答表!E425,IF([6]回答表!AA47="○",[6]回答表!E442,""))</f>
        <v/>
      </c>
      <c r="BJ257" s="83"/>
      <c r="BK257" s="83"/>
      <c r="BL257" s="86"/>
      <c r="BM257" s="82" t="str">
        <f>IF([6]回答表!X47="○",[6]回答表!E426,IF([6]回答表!AA47="○",[6]回答表!E443,""))</f>
        <v/>
      </c>
      <c r="BN257" s="83"/>
      <c r="BO257" s="83"/>
      <c r="BP257" s="86"/>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09"/>
      <c r="V258" s="110"/>
      <c r="W258" s="110"/>
      <c r="X258" s="110"/>
      <c r="Y258" s="110"/>
      <c r="Z258" s="110"/>
      <c r="AA258" s="110"/>
      <c r="AB258" s="110"/>
      <c r="AC258" s="110"/>
      <c r="AD258" s="110"/>
      <c r="AE258" s="110"/>
      <c r="AF258" s="110"/>
      <c r="AG258" s="110"/>
      <c r="AH258" s="110"/>
      <c r="AI258" s="110"/>
      <c r="AJ258" s="111"/>
      <c r="AK258" s="50"/>
      <c r="AL258" s="50"/>
      <c r="AM258" s="124"/>
      <c r="AN258" s="125"/>
      <c r="AO258" s="125"/>
      <c r="AP258" s="125"/>
      <c r="AQ258" s="125"/>
      <c r="AR258" s="125"/>
      <c r="AS258" s="125"/>
      <c r="AT258" s="126"/>
      <c r="AU258" s="124"/>
      <c r="AV258" s="125"/>
      <c r="AW258" s="125"/>
      <c r="AX258" s="125"/>
      <c r="AY258" s="125"/>
      <c r="AZ258" s="125"/>
      <c r="BA258" s="125"/>
      <c r="BB258" s="126"/>
      <c r="BC258" s="40"/>
      <c r="BD258" s="40"/>
      <c r="BE258" s="82"/>
      <c r="BF258" s="83"/>
      <c r="BG258" s="83"/>
      <c r="BH258" s="83"/>
      <c r="BI258" s="82"/>
      <c r="BJ258" s="83"/>
      <c r="BK258" s="83"/>
      <c r="BL258" s="86"/>
      <c r="BM258" s="82"/>
      <c r="BN258" s="83"/>
      <c r="BO258" s="83"/>
      <c r="BP258" s="86"/>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09"/>
      <c r="V259" s="110"/>
      <c r="W259" s="110"/>
      <c r="X259" s="110"/>
      <c r="Y259" s="110"/>
      <c r="Z259" s="110"/>
      <c r="AA259" s="110"/>
      <c r="AB259" s="110"/>
      <c r="AC259" s="110"/>
      <c r="AD259" s="110"/>
      <c r="AE259" s="110"/>
      <c r="AF259" s="110"/>
      <c r="AG259" s="110"/>
      <c r="AH259" s="110"/>
      <c r="AI259" s="110"/>
      <c r="AJ259" s="111"/>
      <c r="AK259" s="50"/>
      <c r="AL259" s="50"/>
      <c r="AM259" s="35"/>
      <c r="AN259" s="35"/>
      <c r="AO259" s="35"/>
      <c r="AP259" s="35"/>
      <c r="AQ259" s="35"/>
      <c r="AR259" s="35"/>
      <c r="AS259" s="35"/>
      <c r="AT259" s="35"/>
      <c r="AU259" s="35"/>
      <c r="AV259" s="35"/>
      <c r="AW259" s="35"/>
      <c r="AX259" s="35"/>
      <c r="AY259" s="35"/>
      <c r="AZ259" s="35"/>
      <c r="BA259" s="35"/>
      <c r="BB259" s="35"/>
      <c r="BC259" s="40"/>
      <c r="BD259" s="35"/>
      <c r="BE259" s="82"/>
      <c r="BF259" s="83"/>
      <c r="BG259" s="83"/>
      <c r="BH259" s="83"/>
      <c r="BI259" s="82"/>
      <c r="BJ259" s="83"/>
      <c r="BK259" s="83"/>
      <c r="BL259" s="86"/>
      <c r="BM259" s="82"/>
      <c r="BN259" s="83"/>
      <c r="BO259" s="83"/>
      <c r="BP259" s="86"/>
      <c r="BQ259" s="38"/>
      <c r="BR259" s="25"/>
    </row>
    <row r="260" spans="1:70" ht="15.6" customHeight="1" x14ac:dyDescent="0.4">
      <c r="A260" s="25"/>
      <c r="B260" s="25"/>
      <c r="C260" s="33"/>
      <c r="D260" s="140" t="s">
        <v>26</v>
      </c>
      <c r="E260" s="141"/>
      <c r="F260" s="141"/>
      <c r="G260" s="141"/>
      <c r="H260" s="141"/>
      <c r="I260" s="141"/>
      <c r="J260" s="141"/>
      <c r="K260" s="141"/>
      <c r="L260" s="141"/>
      <c r="M260" s="142"/>
      <c r="N260" s="97" t="str">
        <f>IF([6]回答表!AA47="○","○","")</f>
        <v/>
      </c>
      <c r="O260" s="98"/>
      <c r="P260" s="98"/>
      <c r="Q260" s="99"/>
      <c r="R260" s="39"/>
      <c r="S260" s="39"/>
      <c r="T260" s="39"/>
      <c r="U260" s="109"/>
      <c r="V260" s="110"/>
      <c r="W260" s="110"/>
      <c r="X260" s="110"/>
      <c r="Y260" s="110"/>
      <c r="Z260" s="110"/>
      <c r="AA260" s="110"/>
      <c r="AB260" s="110"/>
      <c r="AC260" s="110"/>
      <c r="AD260" s="110"/>
      <c r="AE260" s="110"/>
      <c r="AF260" s="110"/>
      <c r="AG260" s="110"/>
      <c r="AH260" s="110"/>
      <c r="AI260" s="110"/>
      <c r="AJ260" s="111"/>
      <c r="AK260" s="50"/>
      <c r="AL260" s="50"/>
      <c r="AM260" s="35"/>
      <c r="AN260" s="35"/>
      <c r="AO260" s="35"/>
      <c r="AP260" s="35"/>
      <c r="AQ260" s="35"/>
      <c r="AR260" s="35"/>
      <c r="AS260" s="35"/>
      <c r="AT260" s="35"/>
      <c r="AU260" s="35"/>
      <c r="AV260" s="35"/>
      <c r="AW260" s="35"/>
      <c r="AX260" s="35"/>
      <c r="AY260" s="35"/>
      <c r="AZ260" s="35"/>
      <c r="BA260" s="35"/>
      <c r="BB260" s="35"/>
      <c r="BC260" s="40"/>
      <c r="BD260" s="54"/>
      <c r="BE260" s="82"/>
      <c r="BF260" s="83"/>
      <c r="BG260" s="83"/>
      <c r="BH260" s="83"/>
      <c r="BI260" s="82"/>
      <c r="BJ260" s="83"/>
      <c r="BK260" s="83"/>
      <c r="BL260" s="86"/>
      <c r="BM260" s="82"/>
      <c r="BN260" s="83"/>
      <c r="BO260" s="83"/>
      <c r="BP260" s="86"/>
      <c r="BQ260" s="38"/>
      <c r="BR260" s="25"/>
    </row>
    <row r="261" spans="1:70" ht="15.6" customHeight="1" x14ac:dyDescent="0.4">
      <c r="A261" s="25"/>
      <c r="B261" s="25"/>
      <c r="C261" s="33"/>
      <c r="D261" s="143"/>
      <c r="E261" s="144"/>
      <c r="F261" s="144"/>
      <c r="G261" s="144"/>
      <c r="H261" s="144"/>
      <c r="I261" s="144"/>
      <c r="J261" s="144"/>
      <c r="K261" s="144"/>
      <c r="L261" s="144"/>
      <c r="M261" s="145"/>
      <c r="N261" s="100"/>
      <c r="O261" s="101"/>
      <c r="P261" s="101"/>
      <c r="Q261" s="102"/>
      <c r="R261" s="39"/>
      <c r="S261" s="39"/>
      <c r="T261" s="39"/>
      <c r="U261" s="109"/>
      <c r="V261" s="110"/>
      <c r="W261" s="110"/>
      <c r="X261" s="110"/>
      <c r="Y261" s="110"/>
      <c r="Z261" s="110"/>
      <c r="AA261" s="110"/>
      <c r="AB261" s="110"/>
      <c r="AC261" s="110"/>
      <c r="AD261" s="110"/>
      <c r="AE261" s="110"/>
      <c r="AF261" s="110"/>
      <c r="AG261" s="110"/>
      <c r="AH261" s="110"/>
      <c r="AI261" s="110"/>
      <c r="AJ261" s="111"/>
      <c r="AK261" s="50"/>
      <c r="AL261" s="50"/>
      <c r="AM261" s="35"/>
      <c r="AN261" s="35"/>
      <c r="AO261" s="35"/>
      <c r="AP261" s="35"/>
      <c r="AQ261" s="35"/>
      <c r="AR261" s="35"/>
      <c r="AS261" s="35"/>
      <c r="AT261" s="35"/>
      <c r="AU261" s="35"/>
      <c r="AV261" s="35"/>
      <c r="AW261" s="35"/>
      <c r="AX261" s="35"/>
      <c r="AY261" s="35"/>
      <c r="AZ261" s="35"/>
      <c r="BA261" s="35"/>
      <c r="BB261" s="35"/>
      <c r="BC261" s="40"/>
      <c r="BD261" s="54"/>
      <c r="BE261" s="82" t="s">
        <v>23</v>
      </c>
      <c r="BF261" s="83"/>
      <c r="BG261" s="83"/>
      <c r="BH261" s="83"/>
      <c r="BI261" s="82" t="s">
        <v>24</v>
      </c>
      <c r="BJ261" s="83"/>
      <c r="BK261" s="83"/>
      <c r="BL261" s="83"/>
      <c r="BM261" s="82" t="s">
        <v>25</v>
      </c>
      <c r="BN261" s="83"/>
      <c r="BO261" s="83"/>
      <c r="BP261" s="86"/>
      <c r="BQ261" s="38"/>
      <c r="BR261" s="25"/>
    </row>
    <row r="262" spans="1:70" ht="15.6" customHeight="1" x14ac:dyDescent="0.4">
      <c r="A262" s="25"/>
      <c r="B262" s="25"/>
      <c r="C262" s="33"/>
      <c r="D262" s="143"/>
      <c r="E262" s="144"/>
      <c r="F262" s="144"/>
      <c r="G262" s="144"/>
      <c r="H262" s="144"/>
      <c r="I262" s="144"/>
      <c r="J262" s="144"/>
      <c r="K262" s="144"/>
      <c r="L262" s="144"/>
      <c r="M262" s="145"/>
      <c r="N262" s="100"/>
      <c r="O262" s="101"/>
      <c r="P262" s="101"/>
      <c r="Q262" s="102"/>
      <c r="R262" s="39"/>
      <c r="S262" s="39"/>
      <c r="T262" s="39"/>
      <c r="U262" s="109"/>
      <c r="V262" s="110"/>
      <c r="W262" s="110"/>
      <c r="X262" s="110"/>
      <c r="Y262" s="110"/>
      <c r="Z262" s="110"/>
      <c r="AA262" s="110"/>
      <c r="AB262" s="110"/>
      <c r="AC262" s="110"/>
      <c r="AD262" s="110"/>
      <c r="AE262" s="110"/>
      <c r="AF262" s="110"/>
      <c r="AG262" s="110"/>
      <c r="AH262" s="110"/>
      <c r="AI262" s="110"/>
      <c r="AJ262" s="111"/>
      <c r="AK262" s="50"/>
      <c r="AL262" s="50"/>
      <c r="AM262" s="35"/>
      <c r="AN262" s="35"/>
      <c r="AO262" s="35"/>
      <c r="AP262" s="35"/>
      <c r="AQ262" s="35"/>
      <c r="AR262" s="35"/>
      <c r="AS262" s="35"/>
      <c r="AT262" s="35"/>
      <c r="AU262" s="35"/>
      <c r="AV262" s="35"/>
      <c r="AW262" s="35"/>
      <c r="AX262" s="35"/>
      <c r="AY262" s="35"/>
      <c r="AZ262" s="35"/>
      <c r="BA262" s="35"/>
      <c r="BB262" s="35"/>
      <c r="BC262" s="40"/>
      <c r="BD262" s="54"/>
      <c r="BE262" s="82"/>
      <c r="BF262" s="83"/>
      <c r="BG262" s="83"/>
      <c r="BH262" s="83"/>
      <c r="BI262" s="82"/>
      <c r="BJ262" s="83"/>
      <c r="BK262" s="83"/>
      <c r="BL262" s="83"/>
      <c r="BM262" s="82"/>
      <c r="BN262" s="83"/>
      <c r="BO262" s="83"/>
      <c r="BP262" s="86"/>
      <c r="BQ262" s="38"/>
      <c r="BR262" s="25"/>
    </row>
    <row r="263" spans="1:70" ht="15.6" customHeight="1" x14ac:dyDescent="0.4">
      <c r="A263" s="25"/>
      <c r="B263" s="25"/>
      <c r="C263" s="33"/>
      <c r="D263" s="146"/>
      <c r="E263" s="147"/>
      <c r="F263" s="147"/>
      <c r="G263" s="147"/>
      <c r="H263" s="147"/>
      <c r="I263" s="147"/>
      <c r="J263" s="147"/>
      <c r="K263" s="147"/>
      <c r="L263" s="147"/>
      <c r="M263" s="148"/>
      <c r="N263" s="103"/>
      <c r="O263" s="104"/>
      <c r="P263" s="104"/>
      <c r="Q263" s="105"/>
      <c r="R263" s="39"/>
      <c r="S263" s="39"/>
      <c r="T263" s="39"/>
      <c r="U263" s="112"/>
      <c r="V263" s="113"/>
      <c r="W263" s="113"/>
      <c r="X263" s="113"/>
      <c r="Y263" s="113"/>
      <c r="Z263" s="113"/>
      <c r="AA263" s="113"/>
      <c r="AB263" s="113"/>
      <c r="AC263" s="113"/>
      <c r="AD263" s="113"/>
      <c r="AE263" s="113"/>
      <c r="AF263" s="113"/>
      <c r="AG263" s="113"/>
      <c r="AH263" s="113"/>
      <c r="AI263" s="113"/>
      <c r="AJ263" s="114"/>
      <c r="AK263" s="50"/>
      <c r="AL263" s="50"/>
      <c r="AM263" s="35"/>
      <c r="AN263" s="35"/>
      <c r="AO263" s="35"/>
      <c r="AP263" s="35"/>
      <c r="AQ263" s="35"/>
      <c r="AR263" s="35"/>
      <c r="AS263" s="35"/>
      <c r="AT263" s="35"/>
      <c r="AU263" s="35"/>
      <c r="AV263" s="35"/>
      <c r="AW263" s="35"/>
      <c r="AX263" s="35"/>
      <c r="AY263" s="35"/>
      <c r="AZ263" s="35"/>
      <c r="BA263" s="35"/>
      <c r="BB263" s="35"/>
      <c r="BC263" s="40"/>
      <c r="BD263" s="54"/>
      <c r="BE263" s="84"/>
      <c r="BF263" s="85"/>
      <c r="BG263" s="85"/>
      <c r="BH263" s="85"/>
      <c r="BI263" s="84"/>
      <c r="BJ263" s="85"/>
      <c r="BK263" s="85"/>
      <c r="BL263" s="85"/>
      <c r="BM263" s="84"/>
      <c r="BN263" s="85"/>
      <c r="BO263" s="85"/>
      <c r="BP263" s="87"/>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88" t="s">
        <v>34</v>
      </c>
      <c r="E266" s="89"/>
      <c r="F266" s="89"/>
      <c r="G266" s="89"/>
      <c r="H266" s="89"/>
      <c r="I266" s="89"/>
      <c r="J266" s="89"/>
      <c r="K266" s="89"/>
      <c r="L266" s="89"/>
      <c r="M266" s="90"/>
      <c r="N266" s="97" t="str">
        <f>IF([6]回答表!AD47="○","○","")</f>
        <v/>
      </c>
      <c r="O266" s="98"/>
      <c r="P266" s="98"/>
      <c r="Q266" s="99"/>
      <c r="R266" s="39"/>
      <c r="S266" s="39"/>
      <c r="T266" s="39"/>
      <c r="U266" s="106" t="str">
        <f>IF([6]回答表!AD47="○",[6]回答表!B448,"")</f>
        <v/>
      </c>
      <c r="V266" s="107"/>
      <c r="W266" s="107"/>
      <c r="X266" s="107"/>
      <c r="Y266" s="107"/>
      <c r="Z266" s="107"/>
      <c r="AA266" s="107"/>
      <c r="AB266" s="107"/>
      <c r="AC266" s="107"/>
      <c r="AD266" s="107"/>
      <c r="AE266" s="107"/>
      <c r="AF266" s="107"/>
      <c r="AG266" s="107"/>
      <c r="AH266" s="107"/>
      <c r="AI266" s="107"/>
      <c r="AJ266" s="108"/>
      <c r="AK266" s="50"/>
      <c r="AL266" s="50"/>
      <c r="AM266" s="106" t="str">
        <f>IF([6]回答表!AD47="○",[6]回答表!B454,"")</f>
        <v/>
      </c>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8"/>
      <c r="BQ266" s="38"/>
      <c r="BR266" s="25"/>
    </row>
    <row r="267" spans="1:70" ht="15.6" customHeight="1" x14ac:dyDescent="0.4">
      <c r="A267" s="25"/>
      <c r="B267" s="25"/>
      <c r="C267" s="33"/>
      <c r="D267" s="91"/>
      <c r="E267" s="92"/>
      <c r="F267" s="92"/>
      <c r="G267" s="92"/>
      <c r="H267" s="92"/>
      <c r="I267" s="92"/>
      <c r="J267" s="92"/>
      <c r="K267" s="92"/>
      <c r="L267" s="92"/>
      <c r="M267" s="93"/>
      <c r="N267" s="100"/>
      <c r="O267" s="101"/>
      <c r="P267" s="101"/>
      <c r="Q267" s="102"/>
      <c r="R267" s="39"/>
      <c r="S267" s="39"/>
      <c r="T267" s="39"/>
      <c r="U267" s="109"/>
      <c r="V267" s="110"/>
      <c r="W267" s="110"/>
      <c r="X267" s="110"/>
      <c r="Y267" s="110"/>
      <c r="Z267" s="110"/>
      <c r="AA267" s="110"/>
      <c r="AB267" s="110"/>
      <c r="AC267" s="110"/>
      <c r="AD267" s="110"/>
      <c r="AE267" s="110"/>
      <c r="AF267" s="110"/>
      <c r="AG267" s="110"/>
      <c r="AH267" s="110"/>
      <c r="AI267" s="110"/>
      <c r="AJ267" s="111"/>
      <c r="AK267" s="50"/>
      <c r="AL267" s="50"/>
      <c r="AM267" s="109"/>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1"/>
      <c r="BQ267" s="38"/>
      <c r="BR267" s="25"/>
    </row>
    <row r="268" spans="1:70" ht="15.6" customHeight="1" x14ac:dyDescent="0.4">
      <c r="A268" s="25"/>
      <c r="B268" s="25"/>
      <c r="C268" s="33"/>
      <c r="D268" s="91"/>
      <c r="E268" s="92"/>
      <c r="F268" s="92"/>
      <c r="G268" s="92"/>
      <c r="H268" s="92"/>
      <c r="I268" s="92"/>
      <c r="J268" s="92"/>
      <c r="K268" s="92"/>
      <c r="L268" s="92"/>
      <c r="M268" s="93"/>
      <c r="N268" s="100"/>
      <c r="O268" s="101"/>
      <c r="P268" s="101"/>
      <c r="Q268" s="102"/>
      <c r="R268" s="39"/>
      <c r="S268" s="39"/>
      <c r="T268" s="39"/>
      <c r="U268" s="109"/>
      <c r="V268" s="110"/>
      <c r="W268" s="110"/>
      <c r="X268" s="110"/>
      <c r="Y268" s="110"/>
      <c r="Z268" s="110"/>
      <c r="AA268" s="110"/>
      <c r="AB268" s="110"/>
      <c r="AC268" s="110"/>
      <c r="AD268" s="110"/>
      <c r="AE268" s="110"/>
      <c r="AF268" s="110"/>
      <c r="AG268" s="110"/>
      <c r="AH268" s="110"/>
      <c r="AI268" s="110"/>
      <c r="AJ268" s="111"/>
      <c r="AK268" s="50"/>
      <c r="AL268" s="50"/>
      <c r="AM268" s="109"/>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1"/>
      <c r="BQ268" s="38"/>
      <c r="BR268" s="25"/>
    </row>
    <row r="269" spans="1:70" ht="15.6" customHeight="1" x14ac:dyDescent="0.4">
      <c r="C269" s="33"/>
      <c r="D269" s="94"/>
      <c r="E269" s="95"/>
      <c r="F269" s="95"/>
      <c r="G269" s="95"/>
      <c r="H269" s="95"/>
      <c r="I269" s="95"/>
      <c r="J269" s="95"/>
      <c r="K269" s="95"/>
      <c r="L269" s="95"/>
      <c r="M269" s="96"/>
      <c r="N269" s="103"/>
      <c r="O269" s="104"/>
      <c r="P269" s="104"/>
      <c r="Q269" s="105"/>
      <c r="R269" s="39"/>
      <c r="S269" s="39"/>
      <c r="T269" s="39"/>
      <c r="U269" s="112"/>
      <c r="V269" s="113"/>
      <c r="W269" s="113"/>
      <c r="X269" s="113"/>
      <c r="Y269" s="113"/>
      <c r="Z269" s="113"/>
      <c r="AA269" s="113"/>
      <c r="AB269" s="113"/>
      <c r="AC269" s="113"/>
      <c r="AD269" s="113"/>
      <c r="AE269" s="113"/>
      <c r="AF269" s="113"/>
      <c r="AG269" s="113"/>
      <c r="AH269" s="113"/>
      <c r="AI269" s="113"/>
      <c r="AJ269" s="114"/>
      <c r="AK269" s="50"/>
      <c r="AL269" s="50"/>
      <c r="AM269" s="112"/>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4"/>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2" t="s">
        <v>73</v>
      </c>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row>
    <row r="276" spans="3:69" ht="21.95" customHeight="1" x14ac:dyDescent="0.4">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row>
    <row r="277" spans="3:69" ht="21.95" customHeight="1" x14ac:dyDescent="0.4">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73" t="str">
        <f>IF([6]回答表!R48="○",[6]回答表!B467,"")</f>
        <v>現行の経営体制・手法で、健全な事業運営が実施できている為である。
ただし、民間事業の経営手法やコスト比較など調査・研究を行い、事務及び事業の効率化と簡素に努めながら事業を実施する。また、指定管理制度の導入や施設及び事業の譲渡、一部業務の民間委託も検討していく。</v>
      </c>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5"/>
      <c r="BQ279" s="68"/>
    </row>
    <row r="280" spans="3:69" ht="23.45" customHeight="1" x14ac:dyDescent="0.4">
      <c r="C280" s="67"/>
      <c r="D280" s="76"/>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8"/>
      <c r="BQ280" s="68"/>
    </row>
    <row r="281" spans="3:69" ht="23.45" customHeight="1" x14ac:dyDescent="0.4">
      <c r="C281" s="67"/>
      <c r="D281" s="76"/>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8"/>
      <c r="BQ281" s="68"/>
    </row>
    <row r="282" spans="3:69" ht="23.45" customHeight="1" x14ac:dyDescent="0.4">
      <c r="C282" s="67"/>
      <c r="D282" s="76"/>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8"/>
      <c r="BQ282" s="68"/>
    </row>
    <row r="283" spans="3:69" ht="23.45" customHeight="1" x14ac:dyDescent="0.4">
      <c r="C283" s="67"/>
      <c r="D283" s="76"/>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8"/>
      <c r="BQ283" s="68"/>
    </row>
    <row r="284" spans="3:69" ht="23.45" customHeight="1" x14ac:dyDescent="0.4">
      <c r="C284" s="67"/>
      <c r="D284" s="76"/>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8"/>
      <c r="BQ284" s="68"/>
    </row>
    <row r="285" spans="3:69" ht="23.45" customHeight="1" x14ac:dyDescent="0.4">
      <c r="C285" s="67"/>
      <c r="D285" s="76"/>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8"/>
      <c r="BQ285" s="68"/>
    </row>
    <row r="286" spans="3:69" ht="23.45" customHeight="1" x14ac:dyDescent="0.4">
      <c r="C286" s="67"/>
      <c r="D286" s="76"/>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8"/>
      <c r="BQ286" s="68"/>
    </row>
    <row r="287" spans="3:69" ht="23.45" customHeight="1" x14ac:dyDescent="0.4">
      <c r="C287" s="67"/>
      <c r="D287" s="76"/>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8"/>
      <c r="BQ287" s="68"/>
    </row>
    <row r="288" spans="3:69" ht="23.45" customHeight="1" x14ac:dyDescent="0.4">
      <c r="C288" s="67"/>
      <c r="D288" s="76"/>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8"/>
      <c r="BQ288" s="68"/>
    </row>
    <row r="289" spans="3:69" ht="23.45" customHeight="1" x14ac:dyDescent="0.4">
      <c r="C289" s="67"/>
      <c r="D289" s="76"/>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8"/>
      <c r="BQ289" s="68"/>
    </row>
    <row r="290" spans="3:69" ht="23.45" customHeight="1" x14ac:dyDescent="0.4">
      <c r="C290" s="67"/>
      <c r="D290" s="76"/>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8"/>
      <c r="BQ290" s="68"/>
    </row>
    <row r="291" spans="3:69" ht="23.45" customHeight="1" x14ac:dyDescent="0.4">
      <c r="C291" s="67"/>
      <c r="D291" s="7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8"/>
      <c r="BQ291" s="68"/>
    </row>
    <row r="292" spans="3:69" ht="23.45" customHeight="1" x14ac:dyDescent="0.4">
      <c r="C292" s="67"/>
      <c r="D292" s="76"/>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8"/>
      <c r="BQ292" s="68"/>
    </row>
    <row r="293" spans="3:69" ht="23.45" customHeight="1" x14ac:dyDescent="0.4">
      <c r="C293" s="67"/>
      <c r="D293" s="7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8"/>
      <c r="BQ293" s="68"/>
    </row>
    <row r="294" spans="3:69" ht="23.45" customHeight="1" x14ac:dyDescent="0.4">
      <c r="C294" s="67"/>
      <c r="D294" s="76"/>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8"/>
      <c r="BQ294" s="68"/>
    </row>
    <row r="295" spans="3:69" ht="23.45" customHeight="1" x14ac:dyDescent="0.4">
      <c r="C295" s="67"/>
      <c r="D295" s="76"/>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8"/>
      <c r="BQ295" s="68"/>
    </row>
    <row r="296" spans="3:69" ht="23.45" customHeight="1" x14ac:dyDescent="0.4">
      <c r="C296" s="67"/>
      <c r="D296" s="76"/>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8"/>
      <c r="BQ296" s="68"/>
    </row>
    <row r="297" spans="3:69" ht="23.45" customHeight="1" x14ac:dyDescent="0.4">
      <c r="C297" s="67"/>
      <c r="D297" s="79"/>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1"/>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vt:lpstr>
      <vt:lpstr>簡易水道</vt:lpstr>
      <vt:lpstr>病院</vt:lpstr>
      <vt:lpstr>下水道（公共下水道）</vt:lpstr>
      <vt:lpstr>下水道（農業集落排水施設）</vt:lpstr>
      <vt:lpstr>下水道（林業集落排水施設）</vt:lpstr>
      <vt:lpstr>下水道（小規模集合排水施設）</vt:lpstr>
      <vt:lpstr>下水道（特定地域排水処理施設）</vt:lpstr>
      <vt:lpstr>観光</vt:lpstr>
      <vt:lpstr>介護サービス（指定介護老人福祉施設）</vt:lpstr>
      <vt:lpstr>介護サービス（介護老人保健施設）</vt:lpstr>
      <vt:lpstr>介護サービス（老人短期入所施設）</vt:lpstr>
      <vt:lpstr>介護サービス（老人デイサービスセンター）</vt:lpstr>
      <vt:lpstr>'下水道（公共下水道）'!Print_Area</vt:lpstr>
      <vt:lpstr>'下水道（小規模集合排水施設）'!Print_Area</vt:lpstr>
      <vt:lpstr>'下水道（特定地域排水処理施設）'!Print_Area</vt:lpstr>
      <vt:lpstr>'下水道（農業集落排水施設）'!Print_Area</vt:lpstr>
      <vt:lpstr>'下水道（林業集落排水施設）'!Print_Area</vt:lpstr>
      <vt:lpstr>'介護サービス（介護老人保健施設）'!Print_Area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lpstr>観光!Print_Area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2020-11-16T02:14:02Z</cp:lastPrinted>
  <dcterms:created xsi:type="dcterms:W3CDTF">2015-06-05T18:17:20Z</dcterms:created>
  <dcterms:modified xsi:type="dcterms:W3CDTF">2020-11-17T06:32:31Z</dcterms:modified>
</cp:coreProperties>
</file>