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1概要" sheetId="1" r:id="rId1"/>
    <sheet name="2事業所数①" sheetId="2" r:id="rId2"/>
    <sheet name="2事業所数②" sheetId="3" r:id="rId3"/>
    <sheet name="3従業者数①" sheetId="4" r:id="rId4"/>
    <sheet name="3従業者数②" sheetId="5" r:id="rId5"/>
    <sheet name="3従業者数③" sheetId="6" r:id="rId6"/>
    <sheet name="4年間商品販売額①" sheetId="7" r:id="rId7"/>
    <sheet name="4年間商品販売額②" sheetId="8" r:id="rId8"/>
    <sheet name="5売場面積①" sheetId="9" r:id="rId9"/>
    <sheet name="5売場面積②" sheetId="10" r:id="rId10"/>
    <sheet name="6販売効率①" sheetId="11" r:id="rId11"/>
    <sheet name="6販売効率②" sheetId="12" r:id="rId12"/>
    <sheet name="7地域別商業の状況①" sheetId="13" r:id="rId13"/>
    <sheet name="7地域別商業の状況②" sheetId="14" r:id="rId14"/>
    <sheet name="7地域別商業の状況③" sheetId="15" r:id="rId15"/>
    <sheet name="7地域別商業の状況④" sheetId="16" r:id="rId16"/>
    <sheet name="8本県商業の位置①" sheetId="17" r:id="rId17"/>
    <sheet name="8本県商業の位置②" sheetId="18" r:id="rId18"/>
    <sheet name="8本県商業の位置③" sheetId="19" r:id="rId19"/>
    <sheet name="付表①" sheetId="20" r:id="rId20"/>
    <sheet name="付表②" sheetId="21" r:id="rId21"/>
    <sheet name="総括表" sheetId="22" r:id="rId22"/>
  </sheets>
  <definedNames/>
  <calcPr fullCalcOnLoad="1"/>
</workbook>
</file>

<file path=xl/sharedStrings.xml><?xml version="1.0" encoding="utf-8"?>
<sst xmlns="http://schemas.openxmlformats.org/spreadsheetml/2006/main" count="1428" uniqueCount="581">
  <si>
    <t>1.6％の増と、３地域では増となったが、他の地域は全て減となった。また卸・小売別にみると卸売</t>
  </si>
  <si>
    <t>業では横手・平鹿地域が3.9％の増となった以外は全地域で減となり、小売業では鹿角地域が7.1</t>
  </si>
  <si>
    <t>％の減、能代・山本地域が5.1％の減、本荘・由利地域が0.4％の減と、３地域で減となったが、他</t>
  </si>
  <si>
    <t>の地域は全て増となった。</t>
  </si>
  <si>
    <t>　秋田周辺地域が1兆4,730億円（構成比56.1％）で最も多く、次いで大館・北秋田地域が2,417億円</t>
  </si>
  <si>
    <t>（同9.2％）、横手・平鹿地域が2,406億円（同9.2％）、大曲・仙北地域が2,406億円（同8.5％）の順に</t>
  </si>
  <si>
    <t>　前回比をみると横手・平鹿地域が1.3％の増、鹿角地域が0.7％の増となったが、他の地域は全て</t>
  </si>
  <si>
    <t>（１）　卸売業</t>
  </si>
  <si>
    <t>　①　１事業所当たりの年間商品販売額</t>
  </si>
  <si>
    <t>　　なるなど、全ての業種で減少した。</t>
  </si>
  <si>
    <t>　②　従業者１人当たりの年間商品販売額</t>
  </si>
  <si>
    <t>（２）　小売業</t>
  </si>
  <si>
    <t>　第6-1表　産業分類別の販売効率</t>
  </si>
  <si>
    <t>卸売業　　　　１兆４，５２８　億円　　（前回比　　５．２％減）</t>
  </si>
  <si>
    <t>小売業　　　　１兆１，７３２　億円　　（前回比　　０．７％減）</t>
  </si>
  <si>
    <t>（１）　年間商品販売額の推移</t>
  </si>
  <si>
    <t>事業所数</t>
  </si>
  <si>
    <t>合計</t>
  </si>
  <si>
    <t>実数</t>
  </si>
  <si>
    <t>増減率</t>
  </si>
  <si>
    <t>事業所数（所・％）</t>
  </si>
  <si>
    <t>従業者数（人・％）</t>
  </si>
  <si>
    <t>産業分類</t>
  </si>
  <si>
    <t>１４年</t>
  </si>
  <si>
    <t>計</t>
  </si>
  <si>
    <t>法人</t>
  </si>
  <si>
    <t>個人</t>
  </si>
  <si>
    <t>１６年</t>
  </si>
  <si>
    <t>14年－16年</t>
  </si>
  <si>
    <t>14年／16年</t>
  </si>
  <si>
    <t>増減数</t>
  </si>
  <si>
    <t>構成比</t>
  </si>
  <si>
    <t>事業所</t>
  </si>
  <si>
    <t>49～60 合計</t>
  </si>
  <si>
    <t>49～54 卸売計</t>
  </si>
  <si>
    <t>　　49各種商品卸売業</t>
  </si>
  <si>
    <t>　　50繊維・衣服等卸売業</t>
  </si>
  <si>
    <t>　　51飲食料品卸売業</t>
  </si>
  <si>
    <t>　　52建築材料、鉱物・</t>
  </si>
  <si>
    <t>　　　　金属材料等卸売業</t>
  </si>
  <si>
    <t>　　53機械器具卸売業</t>
  </si>
  <si>
    <t>　　54その他の卸売業</t>
  </si>
  <si>
    <t>％</t>
  </si>
  <si>
    <t>55～60　小売業計</t>
  </si>
  <si>
    <t>　　55各種商品小売業</t>
  </si>
  <si>
    <t>　　57飲食料品小売業</t>
  </si>
  <si>
    <t>　　58自動車・自転車小売業</t>
  </si>
  <si>
    <t>　　60その他の小売業</t>
  </si>
  <si>
    <t>14年</t>
  </si>
  <si>
    <t>16年</t>
  </si>
  <si>
    <t>従業者規模</t>
  </si>
  <si>
    <t>２人以下</t>
  </si>
  <si>
    <t>３～４人</t>
  </si>
  <si>
    <t>５～９人</t>
  </si>
  <si>
    <t>１０～１９人</t>
  </si>
  <si>
    <t>２０～２９人</t>
  </si>
  <si>
    <t>３０～４９人</t>
  </si>
  <si>
    <t>５０～９９人</t>
  </si>
  <si>
    <t>１００人以上</t>
  </si>
  <si>
    <t>前回比</t>
  </si>
  <si>
    <t>人</t>
  </si>
  <si>
    <t>　　59家具・じゅう器・機械器具小売業</t>
  </si>
  <si>
    <t>　　56繊維・衣服・身の回り品小売業</t>
  </si>
  <si>
    <t>　　52建築材料、鉱物・金属材料等卸売業</t>
  </si>
  <si>
    <t>16年／14年</t>
  </si>
  <si>
    <t>従業者数</t>
  </si>
  <si>
    <t>就業者数</t>
  </si>
  <si>
    <t>臨時雇</t>
  </si>
  <si>
    <t>用者数</t>
  </si>
  <si>
    <t>出向・派遣</t>
  </si>
  <si>
    <t>受入者数</t>
  </si>
  <si>
    <t>年間商品販売額</t>
  </si>
  <si>
    <t>百万円</t>
  </si>
  <si>
    <t>％</t>
  </si>
  <si>
    <t>売場面積</t>
  </si>
  <si>
    <t>10㎡未満</t>
  </si>
  <si>
    <t>10㎡以上～20㎡未満</t>
  </si>
  <si>
    <t>20㎡以上～30㎡未満</t>
  </si>
  <si>
    <t>30㎡以上～50㎡未満</t>
  </si>
  <si>
    <t>50㎡以上～100㎡未満</t>
  </si>
  <si>
    <t>100㎡以上～250㎡未満</t>
  </si>
  <si>
    <t>250㎡以上～500㎡未満</t>
  </si>
  <si>
    <t>500㎡以上～1,000㎡未満</t>
  </si>
  <si>
    <t>1,000㎡以上～1,500㎡未満</t>
  </si>
  <si>
    <t>1,500㎡以上～3,000㎡未満</t>
  </si>
  <si>
    <t>3,000㎡以上～6,000㎡未満</t>
  </si>
  <si>
    <t>6,000㎡以上</t>
  </si>
  <si>
    <t>不詳</t>
  </si>
  <si>
    <t>小売業計</t>
  </si>
  <si>
    <t>売場面積有り</t>
  </si>
  <si>
    <t>－</t>
  </si>
  <si>
    <t>1事業所当たり年間商品販売額</t>
  </si>
  <si>
    <t>従業者1人当たり年間商品販売額</t>
  </si>
  <si>
    <t>売場面積1㎡当たり年間商品販売額</t>
  </si>
  <si>
    <t>49～54 卸売業計</t>
  </si>
  <si>
    <t>増減数</t>
  </si>
  <si>
    <t>卸売業</t>
  </si>
  <si>
    <t>小売業</t>
  </si>
  <si>
    <t>鹿角</t>
  </si>
  <si>
    <t>大館・北秋田</t>
  </si>
  <si>
    <t>能代・山本</t>
  </si>
  <si>
    <t>秋田周辺</t>
  </si>
  <si>
    <t>本荘・由利</t>
  </si>
  <si>
    <t>大曲・仙北</t>
  </si>
  <si>
    <t>横手・平鹿</t>
  </si>
  <si>
    <t>湯沢・雄勝</t>
  </si>
  <si>
    <t>14－16</t>
  </si>
  <si>
    <t>16/14</t>
  </si>
  <si>
    <t>万円</t>
  </si>
  <si>
    <t>構成比（％）</t>
  </si>
  <si>
    <t>増減</t>
  </si>
  <si>
    <t>（事業所）</t>
  </si>
  <si>
    <t>合  計</t>
  </si>
  <si>
    <t>合　計</t>
  </si>
  <si>
    <t>（人）</t>
  </si>
  <si>
    <t>年間商品</t>
  </si>
  <si>
    <t>販売額</t>
  </si>
  <si>
    <t>（百万円）</t>
  </si>
  <si>
    <t>調 査 結 果 の 概 要</t>
  </si>
  <si>
    <t>　平成１６年６月１日現在の秋田県における事業所数は17,522事業所、従業者は98,727人、</t>
  </si>
  <si>
    <t>年間商品販売額は2兆6260億円となった。</t>
  </si>
  <si>
    <t>　平成１４年６月１日実施の前回調査と比べると、事業所数は525事業所の減少、従業者は</t>
  </si>
  <si>
    <t>1,511人の減少、年間商品販売額は880億円の減少となった。</t>
  </si>
  <si>
    <t>第1-1表　総括表</t>
  </si>
  <si>
    <t>（百万円・％）</t>
  </si>
  <si>
    <t>第1-2表　事業所数、従業者数、年間商品販売額の推移</t>
  </si>
  <si>
    <t>昭和 60年</t>
  </si>
  <si>
    <t>昭和 63年</t>
  </si>
  <si>
    <t>平成 ３年</t>
  </si>
  <si>
    <t>平成 ６年</t>
  </si>
  <si>
    <t>平成 ９年</t>
  </si>
  <si>
    <t>平成 11年</t>
  </si>
  <si>
    <t>平成 14年</t>
  </si>
  <si>
    <t>平成 16年</t>
  </si>
  <si>
    <t>　　59家具・じゅう器・機械</t>
  </si>
  <si>
    <t>　　器具小売業</t>
  </si>
  <si>
    <t>　　56繊維・衣服・身の</t>
  </si>
  <si>
    <t>回り品小売業</t>
  </si>
  <si>
    <t>２　事業所数</t>
  </si>
  <si>
    <t>　第2-1表　産業分類別の事業所数</t>
  </si>
  <si>
    <t>１７，５２２事業所　　　　（前回比　　　２．９％減）</t>
  </si>
  <si>
    <t>卸売業　　　　　　　３，０５９　事業所　　　（前回比　　０．２％増）</t>
  </si>
  <si>
    <t>小売業　　　　　　１４，４６３　事業所　　　（前回比　　３．５％減）</t>
  </si>
  <si>
    <t>（１）　事業所数の推移</t>
  </si>
  <si>
    <t>卸売業、小売業の事業所数は17,522事業所で、前回の平成14年と比べて525事業所（2.9％）の減少となった。</t>
  </si>
  <si>
    <t>（２）　卸売業</t>
  </si>
  <si>
    <t>①業種別構成比</t>
  </si>
  <si>
    <t>②経営組織別の状況</t>
  </si>
  <si>
    <t>③従業者規模別事業所数の状況</t>
  </si>
  <si>
    <t>　業種別の事業所数をみると、「飲食料品卸売業」が859事業所（構成比28.1％）で最も多く、次いで「建築材料、</t>
  </si>
  <si>
    <t>　卸売事業所を法人事業所と個人事業所別にみると、法人事業所が2,377事業所、個人事業所が682事業所と</t>
  </si>
  <si>
    <t>なっているが、前回と比べると法人事業所は42事業所の増加、個人事業所は35事業所の減少となった。</t>
  </si>
  <si>
    <t>（３）　小売業</t>
  </si>
  <si>
    <t>鉱物・金属材料等卸売業」が798事業所（同26.1％）、「機械器具卸売業」が734事業所（同24.1％）などとなって</t>
  </si>
  <si>
    <t>の減少となった。</t>
  </si>
  <si>
    <t>　第2-2表　従業者規模別の事業所数</t>
  </si>
  <si>
    <t>％</t>
  </si>
  <si>
    <t>　第3-1表　産業分類別の従業者数</t>
  </si>
  <si>
    <t>３　従業者数</t>
  </si>
  <si>
    <t>卸売業　　　　　　２３，２６３　人　　　（前回比　　７．４％減）</t>
  </si>
  <si>
    <t>小売業　　　　　　７５，４６４　人　　　（前回比　　０．５％増）</t>
  </si>
  <si>
    <t>９８，７２７ 人　　　　（前回比　　　１．５％減）</t>
  </si>
  <si>
    <t>（１）　従業者数の推移</t>
  </si>
  <si>
    <t>％</t>
  </si>
  <si>
    <t>　従業者規模別に事業所数をみると、「５０人～９９人」が40.5％の減、「２０人～２９人」が6.9％の減、「２人以下」</t>
  </si>
  <si>
    <t>②従業者規模別事業所数の状況</t>
  </si>
  <si>
    <t>人～２９人」以下の階層では減少したが、「１００人以上」13.6％の増、「５０人～９９人」が12.7％の増な</t>
  </si>
  <si>
    <t>　第3-2表　従業者規模別の従業者数</t>
  </si>
  <si>
    <t>　業種別の従業者数をみると、「飲食料品卸売業」が7,617人（構成比32.7％）で最も多く、次いで「機</t>
  </si>
  <si>
    <t>械器具卸売業」が5,518人（同23.7％）、「建築材料、鉱物・金属材料等卸売業」が5,391人（同23.2％）</t>
  </si>
  <si>
    <t>　従業者規模別に事業所数をみると、「１００人以上」が52.0％の減、「５０人～９９人」が43.0％の減、</t>
  </si>
  <si>
    <t>　業種別の従業者数をみると、「飲食料品小売業」が29,515人（構成比39.1％）で最も多く、次いで「</t>
  </si>
  <si>
    <t>その他の小売業」が24,890人（同33.0％）、「繊維・衣服・身の回り品小売業」が6,079人（同8.1％）な</t>
  </si>
  <si>
    <t>どとなっている。</t>
  </si>
  <si>
    <t>卸売業､小売業の従業者数は98,727人で、前回の平成14年と比べて1,511人（1.5％）の減少となった。</t>
  </si>
  <si>
    <t>　第3-3表　就業者数、出向・派遣受入者との状況</t>
  </si>
  <si>
    <t>（４）　就業者数</t>
  </si>
  <si>
    <t>　　　　　ア　従業者</t>
  </si>
  <si>
    <t>　　　　　　　個人事業主等、有給役員、常用雇用者（パート、アルバイト含む）</t>
  </si>
  <si>
    <t>　　　　　イ　臨時雇用者</t>
  </si>
  <si>
    <t>　　　　　　　雇用期間が１ヶ月以内や日々雇用の人</t>
  </si>
  <si>
    <t>　　　　　ウ　出向・派遣受入者</t>
  </si>
  <si>
    <t>　　　　　　　他の会社など別経営の事業所から来て働いている人</t>
  </si>
  <si>
    <t>　　なお、就業者数は、従業者数、臨時雇用者数、出向・派遣受入者数を合わせた数をいう。</t>
  </si>
  <si>
    <t>　　業種別にみると</t>
  </si>
  <si>
    <t>　　　臨時雇用者</t>
  </si>
  <si>
    <t>　　　出向・派遣受入者</t>
  </si>
  <si>
    <t>　　　　　　卸売業では、「飲食料品卸売業」が251人（構成比45.1％）で最も多く、次いで「その他の卸売</t>
  </si>
  <si>
    <t>　　　　　　小売業では、「その他の小売業」が1,556人（構成比47.7％）で最も多く、次いで「飲食料品小</t>
  </si>
  <si>
    <t>　　　　　　卸売業では、「飲食料品卸売業」が266人（構成比36.4％）で最も多く、次いで「建築材料、鉱</t>
  </si>
  <si>
    <t>　　　　　　小売業では、「その他の小売業」が447人（構成比34.1％）で最も多く、次いで「各種商品小売</t>
  </si>
  <si>
    <t>％</t>
  </si>
  <si>
    <t>４　年間商品販売額</t>
  </si>
  <si>
    <t>２兆６，２６０億 円　　　　　　　（前回比　　　３．２％減）</t>
  </si>
  <si>
    <t>卸売業､小売業の年間商品販売額の合計は2兆6,260億円で、前回の平成14年と比べて881億円（3.2％）</t>
  </si>
  <si>
    <t>　就業者に占めるそれぞれの構成比は、従業者数が94.8％、臨時雇用者数が2.2％、出向・派遣受入</t>
  </si>
  <si>
    <t>　第4-1表　産業分類別の年間商品販売額</t>
  </si>
  <si>
    <t>　業種別の年間商品販売額をみると、「飲食料品卸売業」が6,144億円（構成比42.3％）で最も多く、次いで</t>
  </si>
  <si>
    <t>「建築材料、鉱物・金属材料等卸売業」が3,197億円（同22.0％）、「機械器具卸売業」が2,644億円（同18.2％）</t>
  </si>
  <si>
    <t>②従業者規模別の年間商品販売額の状況</t>
  </si>
  <si>
    <t>　従業者規模別に年間商品販売額をみると、「５０人～９９人」が48.7％の減、「３０人～４９人」が13.3％の減、</t>
  </si>
  <si>
    <t>　業種別の年間商品販売額をみると、「飲食料品小売業」が4,074億円（構成比34.7％）で最も多く、次いで「</t>
  </si>
  <si>
    <t>その他の小売業」が3,811億円（同32.5％）、「自動車・自転車小売業」が1,353億円（同11.5％）などとなってい</t>
  </si>
  <si>
    <t>る。</t>
  </si>
  <si>
    <t>　従業者規模別に従業者数をみると、「２人以下」が10.4％の減、「１０人～１９人」が5.5％の減など「２０人～</t>
  </si>
  <si>
    <t>２９人」以下の階層では減少したが、「５０人～９９人」が15.5％の増、「３０人～４９人」が8.9％の増など大規</t>
  </si>
  <si>
    <r>
      <t>　第4-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表　従業者規模別の年間商品販売額</t>
    </r>
  </si>
  <si>
    <t>などとなっている。</t>
  </si>
  <si>
    <t>「２０人～２９人」が8.5％の減などとなっている。</t>
  </si>
  <si>
    <t>模な事業所が増加している。</t>
  </si>
  <si>
    <t>５　売場面積</t>
  </si>
  <si>
    <t>小売業の売場面積は１，５５２，９２８ ㎡で前回に比べ０．８％減となった。</t>
  </si>
  <si>
    <t>（１）　業種別の状況</t>
  </si>
  <si>
    <t>（２）　１事業所当たりの売場面積</t>
  </si>
  <si>
    <t>（３）　売場面積規模別の状況</t>
  </si>
  <si>
    <t>　第5-1表　小売業の産業別売場面積</t>
  </si>
  <si>
    <t>％</t>
  </si>
  <si>
    <t>　第5-2表　小売業の売場面積規模別の状況</t>
  </si>
  <si>
    <t>㎡</t>
  </si>
  <si>
    <t>－</t>
  </si>
  <si>
    <t>－</t>
  </si>
  <si>
    <t>－</t>
  </si>
  <si>
    <t>　　　業種別にみると、「飲食料品小売業」が519,207㎡（構成比33.4％）で最も多く、次いで「その</t>
  </si>
  <si>
    <t>　　前回比をみると、「自動車・自転車小売業」が14.5％減、「繊維・衣服・身の回り品小売業」が</t>
  </si>
  <si>
    <t>　　9.5％減など３業種で減少となっており、「家具・じゅう器・機械器具小売業」が11.5％増、「飲</t>
  </si>
  <si>
    <t>　　業種別にみると、「各種商品小売業」が3,520㎡で最も広く、次いで「家具・じゅう器・機械器具</t>
  </si>
  <si>
    <t>　　　小売業全体の１事業所当たりの売場面積は107㎡で前回に比べて18㎡減少した。</t>
  </si>
  <si>
    <t>　①売場面積規模別の事業所数</t>
  </si>
  <si>
    <t>　　　売場面積規模別の事業所数をみると、「３０㎡以上～５０㎡未満」が2,938事業所（構成比</t>
  </si>
  <si>
    <t>　　24.3％）で最も多く、次いで「５０㎡以上～１００㎡未満」が2,930事業所（同24.3％）、「２０㎡</t>
  </si>
  <si>
    <t>　　　前回と比較すると500㎡以上の全ての階層が増加し、500㎡未満のほとんどの階層が減少</t>
  </si>
  <si>
    <t>1事業所当たり売場面積</t>
  </si>
  <si>
    <t xml:space="preserve">  ②売場面積規模別の従業者数</t>
  </si>
  <si>
    <t>　 　 売場面積規模別の従業者数をみると、「５０㎡以上～１００㎡未満」が10,808事業所（構成</t>
  </si>
  <si>
    <t>　 比18.9％） で最も多く、次いで「１００㎡以上～２５０㎡未満」が9,098事業所（同15.9％）、「３０</t>
  </si>
  <si>
    <t>　  　前回と比較すると500㎡以上のほとんどの階層が増加し､500㎡未満の全ての階層が減少</t>
  </si>
  <si>
    <t xml:space="preserve">    している。</t>
  </si>
  <si>
    <t xml:space="preserve">  ③売場面積規模別の年間商品販売額</t>
  </si>
  <si>
    <t>　 　 前回と比較すると「１,０００㎡以上～１,５００㎡未満」で16.7％増、「１,５００㎡以上～３,０００㎡</t>
  </si>
  <si>
    <t>　 未満」で8.4％増など３階層で増加したものの、「２０㎡以上～３０㎡未満」で12.8％の減、「１０</t>
  </si>
  <si>
    <t xml:space="preserve"> 　㎡以上～２０㎡未満」で12.8％の減となるなど、売場面積の小規模なほとんどの階層では減少</t>
  </si>
  <si>
    <t>　    売場面積規模別の年間販売額をみると、「１００㎡以上～２５０㎡未満」が1,316億円（構成</t>
  </si>
  <si>
    <t xml:space="preserve">    比15.4％）で最も多く、次いで「５０㎡以上～１００㎡未満」が1,265億円（同14.8％）などとなって</t>
  </si>
  <si>
    <t>14年/16年</t>
  </si>
  <si>
    <t>６　販売効率</t>
  </si>
  <si>
    <t>　　が9.5％減となったが、他の４業種は全て増となった。</t>
  </si>
  <si>
    <t xml:space="preserve">  ③　売場面積１㎡当たりの年間商品販売額</t>
  </si>
  <si>
    <t>　 １事業所当たりの年間商品販売額　　　　　　１億４，９８７万円（前回比　０．３％減）　　　</t>
  </si>
  <si>
    <t>　第7-1表　地域別事業所数の状況</t>
  </si>
  <si>
    <t>　第7-3表　地域別年間商品販売額の状況</t>
  </si>
  <si>
    <t>　第7-2表　地域別従業者数の状況</t>
  </si>
  <si>
    <t>７　地域別商業の状況</t>
  </si>
  <si>
    <t>②　従業者数</t>
  </si>
  <si>
    <t>③　年間販売額</t>
  </si>
  <si>
    <t xml:space="preserve"> （１）　地域別の動向</t>
  </si>
  <si>
    <t xml:space="preserve"> （２）　各市町村の動向</t>
  </si>
  <si>
    <t>　秋田周辺地域が6,240事業所（構成比35.6％）で最も多く、次いで大曲・仙北地域が2,350事業所</t>
  </si>
  <si>
    <t>　前回比をみると本荘・由利地域が5.0％の減、横手・平鹿地域が3.5％の減となるなど、全地域で</t>
  </si>
  <si>
    <t>減少した。また卸・小売別にみると卸売業で能代・山本地域が7.4％の増、横手・平鹿地域が5.9％</t>
  </si>
  <si>
    <t>の増など４地域で増となったが、小売業では増加した地域はなかった。</t>
  </si>
  <si>
    <t>　秋田周辺地域が41,625人（構成比42.2％）で最も多く、次いで大曲・仙北地域が11,667人（同11.8</t>
  </si>
  <si>
    <t>ている。</t>
  </si>
  <si>
    <t>　前回比をみると仙北・大曲地域が1.9％の増、大館・北秋田地域が1.8％の増、横手・平鹿地域が</t>
  </si>
  <si>
    <t>県人口１人当たりの小売業の年間商品販売額</t>
  </si>
  <si>
    <t>市町村人口１人当たりの小売業の年間商品販売額</t>
  </si>
  <si>
    <t xml:space="preserve"> ※　小売吸引力指数　＝　</t>
  </si>
  <si>
    <t>①　事業所の状況</t>
  </si>
  <si>
    <t>（同13.4％）、横手・平鹿地域が1,914事業所（同10.9％）、大館・北秋田地域が1,891事業所（同10.8</t>
  </si>
  <si>
    <t>％）の順になっている。</t>
  </si>
  <si>
    <t>％）、大館・北秋田地域が10,419人（同10.6％）、横手・平鹿地域が10,291人（同10.4％）の順になっ</t>
  </si>
  <si>
    <t xml:space="preserve">  各市町村が買い物客を引きつける力を「小売吸引力指数」でみると、小売吸引力指数が1.0000よ</t>
  </si>
  <si>
    <t>り大きい場合買物客を外部から引き付け、1.0000より小さい場合は外部に流出しているとみること</t>
  </si>
  <si>
    <t>ができる。</t>
  </si>
  <si>
    <t>　小売吸引力指数が1.0000以上の市町村は男鹿市を除く８市と鷹巣町、井川町、大潟村、角館町、</t>
  </si>
  <si>
    <t>　一方、小売吸引力指数を人口に換算した「小売吸引力人口」と市町村人口との差により、買い物</t>
  </si>
  <si>
    <t>減となった。また卸・小売別にみると卸売業で能代・山本地域が2.0％の増、横手・平鹿地域が4.2</t>
  </si>
  <si>
    <t>％の増となったが、他の地域は全て減となった。小売業では大館・北秋田地域が4.6％の増、鹿角</t>
  </si>
  <si>
    <t>地域が4.5％の増などの４地域では増となったが、本荘・由利地域が8.2％の減、湯沢・雄勝地域が</t>
  </si>
  <si>
    <t>6.9％の減などの４地域では減となった。</t>
  </si>
  <si>
    <t>８　本県商業の位置</t>
  </si>
  <si>
    <t>第8-1表</t>
  </si>
  <si>
    <t>事</t>
  </si>
  <si>
    <t>業</t>
  </si>
  <si>
    <t>所</t>
  </si>
  <si>
    <t>数</t>
  </si>
  <si>
    <t>従</t>
  </si>
  <si>
    <t>者</t>
  </si>
  <si>
    <t>販</t>
  </si>
  <si>
    <t>売</t>
  </si>
  <si>
    <t>額</t>
  </si>
  <si>
    <t>年</t>
  </si>
  <si>
    <t>間</t>
  </si>
  <si>
    <t>商</t>
  </si>
  <si>
    <t>品</t>
  </si>
  <si>
    <t>区　　分</t>
  </si>
  <si>
    <t>合　 計</t>
  </si>
  <si>
    <t>合 　計</t>
  </si>
  <si>
    <t>全国</t>
  </si>
  <si>
    <t>全　　国</t>
  </si>
  <si>
    <t>％</t>
  </si>
  <si>
    <t>※</t>
  </si>
  <si>
    <t>全国は「経済産業省　平成16年商業統計速報」の数値を掲載</t>
  </si>
  <si>
    <t>第8-2表</t>
  </si>
  <si>
    <t>秋田県</t>
  </si>
  <si>
    <t>秋田県／全国</t>
  </si>
  <si>
    <t>売場面積1㎡当り年間商品販売額</t>
  </si>
  <si>
    <t>従業者１人当り年間年間商品販売額</t>
  </si>
  <si>
    <t>１事業所当り年間年間商品販売額</t>
  </si>
  <si>
    <t>％</t>
  </si>
  <si>
    <t>秋田県/全国</t>
  </si>
  <si>
    <t>　経済産業省が発表した平成16年商業統計速報（卸売・小売業）によると、全国の事業所</t>
  </si>
  <si>
    <t>数は1,613,674事業所（前回比3.9％減）、従業者は11,572,080人（同3.4％減）、年間商品</t>
  </si>
  <si>
    <t>　本県の卸売業について全国と比較すると、増減率では事業所数は上回る増加となって</t>
  </si>
  <si>
    <t>いるが、従業者数及び年間商品販売額は全国は上回る減少となっている。</t>
  </si>
  <si>
    <t>　また、全国に占める本県の割合は、事業所数、従業者数、年間商品販売額は前回と同</t>
  </si>
  <si>
    <t>較すると、いずれも全国を下回っている。</t>
  </si>
  <si>
    <t>じである。１事業所当り、従業者１人当りの年間年間商品販売額で全国との販売効率を比</t>
  </si>
  <si>
    <t>　本県の小売業について全国と比較すると、増減率では事業所数、年間商品販売額は下</t>
  </si>
  <si>
    <t>回る減少となっているが、従業者数は全国を上回る増加となっている。</t>
  </si>
  <si>
    <t>　また、全国に占める本県の割合は、事業所数、年間商品販売額は前回と同じで、従業</t>
  </si>
  <si>
    <t>者数が0.1％増加している。１事業所当り、従業者１人当りの年間年間商品販売額で全国</t>
  </si>
  <si>
    <t>との販売効率を比較すると、いずれも全国を下回っている。</t>
  </si>
  <si>
    <t>雇用者数</t>
  </si>
  <si>
    <t>受入人数</t>
  </si>
  <si>
    <t>臨       時</t>
  </si>
  <si>
    <t>　　52建築材料、鉱物・金属材料等卸売業</t>
  </si>
  <si>
    <t>販 売 額</t>
  </si>
  <si>
    <t>その他の</t>
  </si>
  <si>
    <t>収 入 額</t>
  </si>
  <si>
    <t>就業者数</t>
  </si>
  <si>
    <t>－</t>
  </si>
  <si>
    <t>－</t>
  </si>
  <si>
    <t>－</t>
  </si>
  <si>
    <t>－</t>
  </si>
  <si>
    <t>－</t>
  </si>
  <si>
    <t>－</t>
  </si>
  <si>
    <t>－</t>
  </si>
  <si>
    <t xml:space="preserve">     56繊維・衣服・身の回り品小売業</t>
  </si>
  <si>
    <t xml:space="preserve">    59家具・じゅう器・機械器具小売業</t>
  </si>
  <si>
    <t>従業者</t>
  </si>
  <si>
    <t>1人当り</t>
  </si>
  <si>
    <t>1事業所当り</t>
  </si>
  <si>
    <t>就業者</t>
  </si>
  <si>
    <t>1㎡当り</t>
  </si>
  <si>
    <t>産　　業　　分　　類</t>
  </si>
  <si>
    <t>㎡</t>
  </si>
  <si>
    <t>％</t>
  </si>
  <si>
    <t>％</t>
  </si>
  <si>
    <t>－</t>
  </si>
  <si>
    <t>－</t>
  </si>
  <si>
    <t>　②　従業者１人当たりの年間商品販売額</t>
  </si>
  <si>
    <t>％</t>
  </si>
  <si>
    <t xml:space="preserve">  従業者１人当たりの年間商品販売額　  　　　　２，６６０万円（前回比　１．８％減）　　　</t>
  </si>
  <si>
    <t>　総括表</t>
  </si>
  <si>
    <t>１　概況</t>
  </si>
  <si>
    <t>いる。</t>
  </si>
  <si>
    <t>が1.5％の減、となっているが、「５人～９人」では5.4％の増加となった。</t>
  </si>
  <si>
    <t>　業種別の事業所数をみると、「飲食料品小売業」が5,833事業所（構成比40.3％）で最も多く、次いで</t>
  </si>
  <si>
    <t>「その他の小売業」が4,478事業所（同31.0％）、「繊維・衣服・身の回り品小売業」が1,824事業所（同</t>
  </si>
  <si>
    <t>12.6％）などとなっている。</t>
  </si>
  <si>
    <t>　小売事業所を法人事業所と個人事業所別にみると、法人事業所が5,756事業所、個人事業所が8,7</t>
  </si>
  <si>
    <t>07事業所となっているが、前回と比べると法人事業所は60事業所の増加、個人事業所は592事業所</t>
  </si>
  <si>
    <t>　従業者規模別に事業所数をみると、ほとんどの階層で増加となったが、「２人以下」が9.9％の減とな</t>
  </si>
  <si>
    <t>った。</t>
  </si>
  <si>
    <t>などとなっている。</t>
  </si>
  <si>
    <t>「２０人～２９人」が8.1％の減などとなっている。</t>
  </si>
  <si>
    <t>　従業者規模別に従業者数をみると、「２人以下」が6.5％の減、「１０人～１９人」が2.1％の減など「２０</t>
  </si>
  <si>
    <t>ど大規模な事業所が増加している。</t>
  </si>
  <si>
    <t>　者数が3.0％となっている。</t>
  </si>
  <si>
    <t>　　　　　業」が125人（同22.4％）などとなっている。</t>
  </si>
  <si>
    <t>　　　　　売業」が1,191人（同36.5％）などとなっている。</t>
  </si>
  <si>
    <t>　　　　　物・金属材料等卸売業」が170人（同23.3％）などとなっている。</t>
  </si>
  <si>
    <t>　　　　　業」が435人（同33.2％）などとなっている。</t>
  </si>
  <si>
    <t>　　他の小売業」が392,643㎡（同25.3％）などとなっている。</t>
  </si>
  <si>
    <t>　　食料品小売業」が0.8％増など３業種で増加となった。</t>
  </si>
  <si>
    <t>　　小売業」が150㎡などとなっている。</t>
  </si>
  <si>
    <t>　　　　1事業所当たりの年間商品販売額は、4億7,495万円で前回に比べて5.4％減となった。</t>
  </si>
  <si>
    <t>　　　 業種別にみると「各種商品卸売業」が11億7,473万円で最も多く、次いで「飲食料品卸</t>
  </si>
  <si>
    <t>　　売業」が7億1,536万円などとなっている。</t>
  </si>
  <si>
    <t>　     前回と比べると、「各種商品卸売業」が26.1％減、「繊維・衣服等卸売業」が16.4％減と</t>
  </si>
  <si>
    <t>　　　　従業者１人当たりの年間商品販売額は、6,245万円で前回に比べて2.4％増となった。</t>
  </si>
  <si>
    <t>　　　 業種別にみると「各種商品卸売業」が8,899万円で最も多く、次いで「飲食料品卸売業」</t>
  </si>
  <si>
    <t>　　が8,067万円などとなっている。</t>
  </si>
  <si>
    <t>　     前回と比べると、「飲食料品卸売業」が7.2％増、「その他の卸売業」が1.6％増など、３</t>
  </si>
  <si>
    <t>　  業種で増加となり、 「繊維・衣服等卸売業」が10.2％減など３業種で減少した。</t>
  </si>
  <si>
    <t>　　　　１事業所当たりの年間商品販売額は、8,112万円で前回に比べて2.9％増となった。</t>
  </si>
  <si>
    <t>　　　 業種別にみると「各種商品小売業」が16億949万円で最も多く、次いで「自動車・自</t>
  </si>
  <si>
    <t>　　転車小売業」が1億4,168万円などとなっている。</t>
  </si>
  <si>
    <t>　     前回と比べると、「各種商品小売業」が11.1％減、「繊維・衣服・身の回り品小売業」</t>
  </si>
  <si>
    <t>　　　　従業者１人当たりの年間商品販売額は、1,555万円で前回に比べて1.1％減となっ</t>
  </si>
  <si>
    <t>　　た。</t>
  </si>
  <si>
    <t>　　　 業種別にみると「自動車・自転車小売業」が2,435万円で最も多く、次いで「各種商</t>
  </si>
  <si>
    <t>　　品小売業」が1,936万円などとなっている。</t>
  </si>
  <si>
    <t>　     前回と比べると、「家具・じゅう器・機械器具小売業」が3.0％増、「飲食料品小売業」</t>
  </si>
  <si>
    <t>　　が 1.2％増など、２業種で増加となったが、他の業４種は全て減となった。</t>
  </si>
  <si>
    <t>　　　　売場面積１㎡当たりの年間商品販売額は、76万円で前回に比べて35.7％増となっ</t>
  </si>
  <si>
    <t>　　　た。</t>
  </si>
  <si>
    <t>　　　 業種別にみると「自動車・自転車小売業」が419万円で最も多く、次いで「その他の</t>
  </si>
  <si>
    <t>　　小売業」が97万円などとなっている。</t>
  </si>
  <si>
    <t>　     前回と比べると、「自動車・自転車小売業」が947.5％増、「その他の小売業」が61.</t>
  </si>
  <si>
    <t>　　7％ 増などとなり、「各種商品小売業」のみ6.1％の減になった。</t>
  </si>
  <si>
    <t>なっている。</t>
  </si>
  <si>
    <t>中仙町、十文字町の計14市町村であり、最も指数が大きいのは、大潟村の4.4987、次いで横手市</t>
  </si>
  <si>
    <t>が1.7440、大曲市が1.7046などとなっている。</t>
  </si>
  <si>
    <t>客の流入・流出人口をみると、最も多く買い物客を集めているのは秋田市で、52,055人となっており､</t>
  </si>
  <si>
    <t>次いで横手市が29,611人、大曲市が27,406人などとなっている。</t>
  </si>
  <si>
    <t>販売額は538,931,583百万円（同1.7％減）となっている。</t>
  </si>
  <si>
    <t>　　以上～３０㎡未満」が1,646事業所（同13.6％）などとなっている。</t>
  </si>
  <si>
    <t>　　している。</t>
  </si>
  <si>
    <t xml:space="preserve"> 　 ㎡以上～５０㎡未満」が7,812事業所（同13.6％）などとなっている。</t>
  </si>
  <si>
    <t>　  いる。</t>
  </si>
  <si>
    <t>　 した。</t>
  </si>
  <si>
    <t>第8-3表　都道府県別商業の状況</t>
  </si>
  <si>
    <t>事　業　所　数</t>
  </si>
  <si>
    <t>従　業　者　数</t>
  </si>
  <si>
    <t>実　　　数</t>
  </si>
  <si>
    <t>構　成　比</t>
  </si>
  <si>
    <t>計</t>
  </si>
  <si>
    <t>卸売業計</t>
  </si>
  <si>
    <t>小売業計</t>
  </si>
  <si>
    <t>％</t>
  </si>
  <si>
    <t xml:space="preserve"> 全　国</t>
  </si>
  <si>
    <t xml:space="preserve"> 北海道</t>
  </si>
  <si>
    <t xml:space="preserve"> 青森県</t>
  </si>
  <si>
    <t xml:space="preserve"> 岩手県</t>
  </si>
  <si>
    <t xml:space="preserve"> 宮城県</t>
  </si>
  <si>
    <t xml:space="preserve"> 秋田県</t>
  </si>
  <si>
    <t xml:space="preserve"> 山形県</t>
  </si>
  <si>
    <t xml:space="preserve"> 福島県</t>
  </si>
  <si>
    <t xml:space="preserve"> 茨城県</t>
  </si>
  <si>
    <t xml:space="preserve"> 栃木県</t>
  </si>
  <si>
    <t xml:space="preserve"> 群馬県</t>
  </si>
  <si>
    <t xml:space="preserve"> 埼玉県</t>
  </si>
  <si>
    <t xml:space="preserve"> 千葉県</t>
  </si>
  <si>
    <t xml:space="preserve"> 東京都</t>
  </si>
  <si>
    <t xml:space="preserve"> 神奈川県</t>
  </si>
  <si>
    <t xml:space="preserve"> 新潟県</t>
  </si>
  <si>
    <t xml:space="preserve"> 富山県</t>
  </si>
  <si>
    <t xml:space="preserve"> 石川県</t>
  </si>
  <si>
    <t xml:space="preserve"> 福井県</t>
  </si>
  <si>
    <t xml:space="preserve"> 山梨県</t>
  </si>
  <si>
    <t xml:space="preserve"> 長野県</t>
  </si>
  <si>
    <t xml:space="preserve"> 岐阜県</t>
  </si>
  <si>
    <t xml:space="preserve"> 静岡県</t>
  </si>
  <si>
    <t xml:space="preserve"> 愛知県</t>
  </si>
  <si>
    <t xml:space="preserve"> 三重県</t>
  </si>
  <si>
    <t xml:space="preserve"> 滋賀県</t>
  </si>
  <si>
    <t xml:space="preserve"> 京都府</t>
  </si>
  <si>
    <t xml:space="preserve"> 大阪府</t>
  </si>
  <si>
    <t xml:space="preserve"> 兵庫県</t>
  </si>
  <si>
    <t xml:space="preserve"> 奈良県</t>
  </si>
  <si>
    <t xml:space="preserve"> 和歌山県</t>
  </si>
  <si>
    <t xml:space="preserve"> 鳥取県</t>
  </si>
  <si>
    <t xml:space="preserve"> 島根県</t>
  </si>
  <si>
    <t xml:space="preserve"> 岡山県</t>
  </si>
  <si>
    <t xml:space="preserve"> 広島県</t>
  </si>
  <si>
    <t xml:space="preserve"> 山口県</t>
  </si>
  <si>
    <t xml:space="preserve"> 徳島県</t>
  </si>
  <si>
    <t xml:space="preserve"> 香川県</t>
  </si>
  <si>
    <t xml:space="preserve"> 愛媛県</t>
  </si>
  <si>
    <t xml:space="preserve"> 高知県</t>
  </si>
  <si>
    <t xml:space="preserve"> 福岡県</t>
  </si>
  <si>
    <t xml:space="preserve"> 佐賀県</t>
  </si>
  <si>
    <t xml:space="preserve"> 長崎県</t>
  </si>
  <si>
    <t xml:space="preserve"> 熊本県</t>
  </si>
  <si>
    <t xml:space="preserve"> 大分県</t>
  </si>
  <si>
    <t xml:space="preserve"> 宮崎県</t>
  </si>
  <si>
    <t xml:space="preserve"> 鹿児島県</t>
  </si>
  <si>
    <t xml:space="preserve"> 沖縄県</t>
  </si>
  <si>
    <t>（資料：経済産業省経済産業政策局調査統計部「平成16年商業統計速報」）</t>
  </si>
  <si>
    <t>年　間　商　品　販　売　額</t>
  </si>
  <si>
    <t>付表　市町村別小売業の商業力</t>
  </si>
  <si>
    <t>Ａ</t>
  </si>
  <si>
    <t>Ｂ</t>
  </si>
  <si>
    <t>Ｃ＝Ａ×Ｂ</t>
  </si>
  <si>
    <t>Ｃ－Ａ</t>
  </si>
  <si>
    <t>区分</t>
  </si>
  <si>
    <t>人口</t>
  </si>
  <si>
    <t>１人あたり販売額</t>
  </si>
  <si>
    <t>小　　売</t>
  </si>
  <si>
    <t>流　　入・</t>
  </si>
  <si>
    <t>（平成16年6</t>
  </si>
  <si>
    <t>実　数</t>
  </si>
  <si>
    <t>順位</t>
  </si>
  <si>
    <t>吸引力</t>
  </si>
  <si>
    <t>流　　出</t>
  </si>
  <si>
    <t>月１日現在）</t>
  </si>
  <si>
    <t>指　　数</t>
  </si>
  <si>
    <t>人　  口</t>
  </si>
  <si>
    <t>人　　口</t>
  </si>
  <si>
    <t>県    　　計</t>
  </si>
  <si>
    <t>-</t>
  </si>
  <si>
    <t>市　 部 　計</t>
  </si>
  <si>
    <t>郡 　部 　計</t>
  </si>
  <si>
    <t>-</t>
  </si>
  <si>
    <t xml:space="preserve"> 秋 　田 　市</t>
  </si>
  <si>
    <t xml:space="preserve"> 能 　代 　市</t>
  </si>
  <si>
    <t xml:space="preserve"> 横 　手 　市</t>
  </si>
  <si>
    <t xml:space="preserve"> 大 　館 　市</t>
  </si>
  <si>
    <t xml:space="preserve"> 本 　荘 　市</t>
  </si>
  <si>
    <t xml:space="preserve"> 男 　鹿 　市</t>
  </si>
  <si>
    <t xml:space="preserve"> 湯 　沢 　市</t>
  </si>
  <si>
    <t xml:space="preserve"> 大 　曲 　市</t>
  </si>
  <si>
    <t xml:space="preserve"> 鹿 　角 　市</t>
  </si>
  <si>
    <t>鹿　角　郡</t>
  </si>
  <si>
    <t xml:space="preserve"> 小 　坂 　町</t>
  </si>
  <si>
    <t>北 秋 田 郡</t>
  </si>
  <si>
    <t xml:space="preserve"> 鷹 　巣 　町</t>
  </si>
  <si>
    <t xml:space="preserve"> 比 　内 　町</t>
  </si>
  <si>
    <t xml:space="preserve"> 森 　吉 　町</t>
  </si>
  <si>
    <t xml:space="preserve"> 阿 　仁 　町</t>
  </si>
  <si>
    <t xml:space="preserve"> 田 　代 　町</t>
  </si>
  <si>
    <t xml:space="preserve"> 合 　川 　町</t>
  </si>
  <si>
    <t>上小阿仁村</t>
  </si>
  <si>
    <t>山　本　郡</t>
  </si>
  <si>
    <t xml:space="preserve"> 琴 　丘 　町</t>
  </si>
  <si>
    <t xml:space="preserve"> 二 ツ 井　町</t>
  </si>
  <si>
    <t xml:space="preserve"> 八 　森 　町</t>
  </si>
  <si>
    <t xml:space="preserve"> 山 　本 　町</t>
  </si>
  <si>
    <t xml:space="preserve"> 八 　竜 　町</t>
  </si>
  <si>
    <t xml:space="preserve"> 藤 　里   町</t>
  </si>
  <si>
    <t xml:space="preserve"> 峰 　浜 　村</t>
  </si>
  <si>
    <t>南 秋 田 郡</t>
  </si>
  <si>
    <t xml:space="preserve"> 五 城 目　町</t>
  </si>
  <si>
    <t xml:space="preserve"> 昭 　和 　町</t>
  </si>
  <si>
    <t xml:space="preserve"> 八 郎 潟　町</t>
  </si>
  <si>
    <t xml:space="preserve"> 飯 田 川　町</t>
  </si>
  <si>
    <t xml:space="preserve"> 天 　王 　町</t>
  </si>
  <si>
    <t xml:space="preserve"> 井 　川 　町</t>
  </si>
  <si>
    <t xml:space="preserve"> 若 　美 　町</t>
  </si>
  <si>
    <t xml:space="preserve"> 大 　潟 　村</t>
  </si>
  <si>
    <t>Ａ</t>
  </si>
  <si>
    <t>Ｂ</t>
  </si>
  <si>
    <t>Ｃ＝Ａ×Ｂ</t>
  </si>
  <si>
    <t>Ｃ－Ａ</t>
  </si>
  <si>
    <t>河　辺　郡</t>
  </si>
  <si>
    <t xml:space="preserve"> 河 　辺 　町</t>
  </si>
  <si>
    <t xml:space="preserve"> 雄 　和 　町</t>
  </si>
  <si>
    <t>由　利　郡</t>
  </si>
  <si>
    <t xml:space="preserve"> 仁 賀 保　町</t>
  </si>
  <si>
    <t xml:space="preserve"> 金 　浦 　町</t>
  </si>
  <si>
    <t xml:space="preserve"> 象 　潟 　町</t>
  </si>
  <si>
    <t xml:space="preserve"> 矢 　島 　町</t>
  </si>
  <si>
    <t xml:space="preserve"> 岩 　城 　町</t>
  </si>
  <si>
    <t xml:space="preserve"> 由 　利 　町</t>
  </si>
  <si>
    <t xml:space="preserve"> 西 　目 　町</t>
  </si>
  <si>
    <t xml:space="preserve"> 鳥 　海 　町</t>
  </si>
  <si>
    <t xml:space="preserve"> 東 由 利　町</t>
  </si>
  <si>
    <t xml:space="preserve"> 大 　内 　町</t>
  </si>
  <si>
    <t>仙　北　郡</t>
  </si>
  <si>
    <t xml:space="preserve"> 神 　岡 　町</t>
  </si>
  <si>
    <t xml:space="preserve"> 西 仙 北　町</t>
  </si>
  <si>
    <t xml:space="preserve"> 角 　館 　町</t>
  </si>
  <si>
    <t xml:space="preserve"> 六 　郷 　町</t>
  </si>
  <si>
    <t xml:space="preserve"> 中 　仙 　町</t>
  </si>
  <si>
    <t xml:space="preserve"> 田 沢 湖　町</t>
  </si>
  <si>
    <t xml:space="preserve"> 協 　和 　町</t>
  </si>
  <si>
    <t xml:space="preserve"> 南 　外 　村</t>
  </si>
  <si>
    <t xml:space="preserve"> 仙 　北 　町</t>
  </si>
  <si>
    <t xml:space="preserve"> 西 　木 　村</t>
  </si>
  <si>
    <t xml:space="preserve"> 太 　田 　町</t>
  </si>
  <si>
    <t xml:space="preserve"> 千 　畑 　町</t>
  </si>
  <si>
    <t xml:space="preserve"> 仙 　南 　村</t>
  </si>
  <si>
    <t>平　鹿　郡</t>
  </si>
  <si>
    <t xml:space="preserve"> 増 　田 　町</t>
  </si>
  <si>
    <t xml:space="preserve"> 平 　鹿 　町</t>
  </si>
  <si>
    <t xml:space="preserve"> 雄 物 川　町</t>
  </si>
  <si>
    <t xml:space="preserve"> 大 　森 　町</t>
  </si>
  <si>
    <t xml:space="preserve"> 十 文 字　町</t>
  </si>
  <si>
    <t xml:space="preserve"> 山 　内 　村</t>
  </si>
  <si>
    <t xml:space="preserve"> 大 　雄 　村</t>
  </si>
  <si>
    <t>雄　勝　郡</t>
  </si>
  <si>
    <t xml:space="preserve"> 稲 　川 　町</t>
  </si>
  <si>
    <t xml:space="preserve"> 雄 　勝 　町</t>
  </si>
  <si>
    <t xml:space="preserve"> 羽 　後 　町</t>
  </si>
  <si>
    <t xml:space="preserve"> 東 成 瀬　村</t>
  </si>
  <si>
    <t xml:space="preserve"> 皆 　瀬 　村</t>
  </si>
  <si>
    <t>Ａ</t>
  </si>
  <si>
    <t>Ｂ</t>
  </si>
  <si>
    <t>Ｃ＝Ａ×Ｂ</t>
  </si>
  <si>
    <t>Ｃ－Ａ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</si>
</sst>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0.0_);[Red]\(0.0\)"/>
    <numFmt numFmtId="180" formatCode="0.0;&quot;△ &quot;0.0"/>
    <numFmt numFmtId="181" formatCode="#,##0_);[Red]\(#,##0\)"/>
    <numFmt numFmtId="182" formatCode="#,##0.0_);[Red]\(#,##0.0\)"/>
    <numFmt numFmtId="183" formatCode="0.0_ "/>
    <numFmt numFmtId="184" formatCode="0.00_ "/>
    <numFmt numFmtId="185" formatCode="0_);[Red]\(0\)"/>
    <numFmt numFmtId="186" formatCode="#,##0.000_ "/>
    <numFmt numFmtId="187" formatCode="#,##0.0000_ 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1"/>
      <name val="HGPｺﾞｼｯｸE"/>
      <family val="3"/>
    </font>
    <font>
      <sz val="16"/>
      <name val="ＤＦ特太ゴシック体"/>
      <family val="0"/>
    </font>
    <font>
      <sz val="14"/>
      <name val="ＤＦ特太ゴシック体"/>
      <family val="0"/>
    </font>
    <font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4"/>
      <name val="HGPｺﾞｼｯｸE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HGPｺﾞｼｯｸE"/>
      <family val="3"/>
    </font>
    <font>
      <sz val="12"/>
      <name val="HGP創英角ｺﾞｼｯｸUB"/>
      <family val="3"/>
    </font>
    <font>
      <b/>
      <sz val="10"/>
      <name val="ＭＳ Ｐゴシック"/>
      <family val="3"/>
    </font>
    <font>
      <b/>
      <sz val="11"/>
      <name val="HGPｺﾞｼｯｸE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b/>
      <sz val="18"/>
      <name val="ＭＳ 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6"/>
      <name val="ＭＳ 明朝"/>
      <family val="1"/>
    </font>
    <font>
      <b/>
      <sz val="11"/>
      <name val="ＭＳ 明朝"/>
      <family val="1"/>
    </font>
    <font>
      <b/>
      <sz val="11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0" borderId="0">
      <alignment/>
      <protection/>
    </xf>
  </cellStyleXfs>
  <cellXfs count="67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8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2" xfId="0" applyNumberFormat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right" vertical="center"/>
    </xf>
    <xf numFmtId="180" fontId="0" fillId="0" borderId="10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0" xfId="0" applyNumberFormat="1" applyAlignment="1">
      <alignment vertical="center"/>
    </xf>
    <xf numFmtId="179" fontId="0" fillId="0" borderId="3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4" xfId="0" applyNumberFormat="1" applyBorder="1" applyAlignment="1">
      <alignment horizontal="right" vertical="center"/>
    </xf>
    <xf numFmtId="179" fontId="0" fillId="0" borderId="17" xfId="0" applyNumberFormat="1" applyBorder="1" applyAlignment="1">
      <alignment horizontal="right" vertical="center"/>
    </xf>
    <xf numFmtId="179" fontId="0" fillId="0" borderId="13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179" fontId="2" fillId="0" borderId="13" xfId="0" applyNumberFormat="1" applyFont="1" applyBorder="1" applyAlignment="1">
      <alignment vertical="center"/>
    </xf>
    <xf numFmtId="179" fontId="2" fillId="0" borderId="14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80" fontId="0" fillId="0" borderId="14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16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17" xfId="0" applyBorder="1" applyAlignment="1">
      <alignment horizontal="right" vertical="center"/>
    </xf>
    <xf numFmtId="179" fontId="0" fillId="0" borderId="5" xfId="0" applyNumberFormat="1" applyBorder="1" applyAlignment="1">
      <alignment horizontal="center" vertical="center"/>
    </xf>
    <xf numFmtId="179" fontId="0" fillId="0" borderId="18" xfId="0" applyNumberFormat="1" applyBorder="1" applyAlignment="1">
      <alignment horizontal="center" vertical="center"/>
    </xf>
    <xf numFmtId="181" fontId="0" fillId="0" borderId="5" xfId="0" applyNumberFormat="1" applyBorder="1" applyAlignment="1">
      <alignment horizontal="center" vertical="center"/>
    </xf>
    <xf numFmtId="181" fontId="0" fillId="0" borderId="13" xfId="0" applyNumberFormat="1" applyBorder="1" applyAlignment="1">
      <alignment vertical="center"/>
    </xf>
    <xf numFmtId="181" fontId="0" fillId="0" borderId="3" xfId="0" applyNumberFormat="1" applyBorder="1" applyAlignment="1">
      <alignment vertical="center"/>
    </xf>
    <xf numFmtId="181" fontId="0" fillId="0" borderId="15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2" xfId="0" applyBorder="1" applyAlignment="1">
      <alignment horizontal="center" vertical="center"/>
    </xf>
    <xf numFmtId="182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177" fontId="2" fillId="0" borderId="13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9" fontId="0" fillId="0" borderId="11" xfId="0" applyNumberFormat="1" applyBorder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7" fontId="0" fillId="0" borderId="5" xfId="0" applyNumberFormat="1" applyBorder="1" applyAlignment="1">
      <alignment horizontal="center" vertical="center"/>
    </xf>
    <xf numFmtId="177" fontId="0" fillId="0" borderId="4" xfId="0" applyNumberFormat="1" applyBorder="1" applyAlignment="1">
      <alignment vertical="center"/>
    </xf>
    <xf numFmtId="178" fontId="0" fillId="0" borderId="11" xfId="0" applyNumberFormat="1" applyBorder="1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17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80" fontId="0" fillId="0" borderId="20" xfId="0" applyNumberFormat="1" applyFont="1" applyBorder="1" applyAlignment="1">
      <alignment vertical="center"/>
    </xf>
    <xf numFmtId="180" fontId="0" fillId="0" borderId="21" xfId="0" applyNumberFormat="1" applyFont="1" applyBorder="1" applyAlignment="1">
      <alignment vertical="center"/>
    </xf>
    <xf numFmtId="180" fontId="0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179" fontId="0" fillId="0" borderId="4" xfId="0" applyNumberForma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7" fontId="6" fillId="0" borderId="12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15" xfId="0" applyNumberFormat="1" applyFont="1" applyBorder="1" applyAlignment="1">
      <alignment vertical="center"/>
    </xf>
    <xf numFmtId="180" fontId="6" fillId="0" borderId="24" xfId="0" applyNumberFormat="1" applyFont="1" applyBorder="1" applyAlignment="1">
      <alignment vertical="center"/>
    </xf>
    <xf numFmtId="180" fontId="6" fillId="0" borderId="2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180" fontId="0" fillId="0" borderId="27" xfId="0" applyNumberFormat="1" applyBorder="1" applyAlignment="1">
      <alignment vertical="center"/>
    </xf>
    <xf numFmtId="179" fontId="0" fillId="0" borderId="27" xfId="0" applyNumberFormat="1" applyBorder="1" applyAlignment="1">
      <alignment vertical="center"/>
    </xf>
    <xf numFmtId="179" fontId="0" fillId="0" borderId="28" xfId="0" applyNumberForma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9" fontId="0" fillId="0" borderId="24" xfId="0" applyNumberFormat="1" applyBorder="1" applyAlignment="1">
      <alignment vertical="center"/>
    </xf>
    <xf numFmtId="178" fontId="6" fillId="0" borderId="29" xfId="0" applyNumberFormat="1" applyFont="1" applyBorder="1" applyAlignment="1">
      <alignment vertical="center"/>
    </xf>
    <xf numFmtId="177" fontId="0" fillId="0" borderId="30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6" fillId="0" borderId="32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80" fontId="0" fillId="0" borderId="10" xfId="0" applyNumberFormat="1" applyFont="1" applyBorder="1" applyAlignment="1">
      <alignment vertical="center"/>
    </xf>
    <xf numFmtId="180" fontId="0" fillId="0" borderId="13" xfId="0" applyNumberFormat="1" applyFont="1" applyBorder="1" applyAlignment="1">
      <alignment vertical="center"/>
    </xf>
    <xf numFmtId="180" fontId="0" fillId="0" borderId="14" xfId="0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180" fontId="0" fillId="0" borderId="33" xfId="0" applyNumberFormat="1" applyBorder="1" applyAlignment="1">
      <alignment vertical="center"/>
    </xf>
    <xf numFmtId="179" fontId="0" fillId="0" borderId="33" xfId="0" applyNumberFormat="1" applyBorder="1" applyAlignment="1">
      <alignment vertical="center"/>
    </xf>
    <xf numFmtId="179" fontId="0" fillId="0" borderId="34" xfId="0" applyNumberForma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80" fontId="0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2" xfId="0" applyNumberFormat="1" applyFont="1" applyBorder="1" applyAlignment="1">
      <alignment vertical="center"/>
    </xf>
    <xf numFmtId="177" fontId="0" fillId="0" borderId="3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80" fontId="0" fillId="0" borderId="2" xfId="0" applyNumberFormat="1" applyFont="1" applyBorder="1" applyAlignment="1">
      <alignment vertical="center"/>
    </xf>
    <xf numFmtId="180" fontId="0" fillId="0" borderId="3" xfId="0" applyNumberFormat="1" applyFont="1" applyBorder="1" applyAlignment="1">
      <alignment vertical="center"/>
    </xf>
    <xf numFmtId="180" fontId="0" fillId="0" borderId="16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177" fontId="6" fillId="0" borderId="14" xfId="0" applyNumberFormat="1" applyFont="1" applyBorder="1" applyAlignment="1">
      <alignment vertical="center"/>
    </xf>
    <xf numFmtId="180" fontId="6" fillId="0" borderId="10" xfId="0" applyNumberFormat="1" applyFont="1" applyBorder="1" applyAlignment="1">
      <alignment vertical="center"/>
    </xf>
    <xf numFmtId="180" fontId="6" fillId="0" borderId="13" xfId="0" applyNumberFormat="1" applyFont="1" applyBorder="1" applyAlignment="1">
      <alignment vertical="center"/>
    </xf>
    <xf numFmtId="180" fontId="6" fillId="0" borderId="14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4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180" fontId="10" fillId="0" borderId="4" xfId="0" applyNumberFormat="1" applyFont="1" applyBorder="1" applyAlignment="1">
      <alignment horizontal="right" vertical="center"/>
    </xf>
    <xf numFmtId="180" fontId="10" fillId="0" borderId="17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80" fontId="10" fillId="0" borderId="0" xfId="0" applyNumberFormat="1" applyFont="1" applyAlignment="1">
      <alignment vertical="center"/>
    </xf>
    <xf numFmtId="0" fontId="10" fillId="0" borderId="15" xfId="0" applyFont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10" fillId="0" borderId="0" xfId="0" applyNumberFormat="1" applyFont="1" applyAlignment="1">
      <alignment vertical="center"/>
    </xf>
    <xf numFmtId="181" fontId="10" fillId="0" borderId="4" xfId="0" applyNumberFormat="1" applyFont="1" applyBorder="1" applyAlignment="1">
      <alignment horizontal="right" vertical="center"/>
    </xf>
    <xf numFmtId="181" fontId="10" fillId="0" borderId="12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0" fillId="0" borderId="10" xfId="0" applyNumberFormat="1" applyFont="1" applyBorder="1" applyAlignment="1">
      <alignment vertical="center"/>
    </xf>
    <xf numFmtId="181" fontId="0" fillId="0" borderId="13" xfId="0" applyNumberFormat="1" applyFont="1" applyBorder="1" applyAlignment="1">
      <alignment vertical="center"/>
    </xf>
    <xf numFmtId="181" fontId="0" fillId="0" borderId="14" xfId="0" applyNumberFormat="1" applyFont="1" applyBorder="1" applyAlignment="1">
      <alignment vertical="center"/>
    </xf>
    <xf numFmtId="180" fontId="0" fillId="0" borderId="10" xfId="0" applyNumberFormat="1" applyFont="1" applyBorder="1" applyAlignment="1">
      <alignment vertical="center"/>
    </xf>
    <xf numFmtId="180" fontId="0" fillId="0" borderId="13" xfId="0" applyNumberFormat="1" applyFont="1" applyBorder="1" applyAlignment="1">
      <alignment vertical="center"/>
    </xf>
    <xf numFmtId="180" fontId="0" fillId="0" borderId="1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81" fontId="6" fillId="0" borderId="13" xfId="0" applyNumberFormat="1" applyFont="1" applyBorder="1" applyAlignment="1">
      <alignment vertical="center"/>
    </xf>
    <xf numFmtId="181" fontId="6" fillId="0" borderId="1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7" fontId="0" fillId="0" borderId="13" xfId="0" applyNumberFormat="1" applyFont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2" xfId="0" applyNumberFormat="1" applyFont="1" applyBorder="1" applyAlignment="1">
      <alignment vertical="center"/>
    </xf>
    <xf numFmtId="177" fontId="0" fillId="0" borderId="3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80" fontId="0" fillId="0" borderId="2" xfId="0" applyNumberFormat="1" applyFont="1" applyBorder="1" applyAlignment="1">
      <alignment vertical="center"/>
    </xf>
    <xf numFmtId="180" fontId="0" fillId="0" borderId="3" xfId="0" applyNumberFormat="1" applyFont="1" applyBorder="1" applyAlignment="1">
      <alignment vertical="center"/>
    </xf>
    <xf numFmtId="180" fontId="0" fillId="0" borderId="16" xfId="0" applyNumberFormat="1" applyFont="1" applyBorder="1" applyAlignment="1">
      <alignment vertical="center"/>
    </xf>
    <xf numFmtId="177" fontId="6" fillId="0" borderId="14" xfId="0" applyNumberFormat="1" applyFont="1" applyFill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81" fontId="5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181" fontId="0" fillId="0" borderId="0" xfId="0" applyNumberFormat="1" applyFont="1" applyAlignment="1">
      <alignment vertical="center"/>
    </xf>
    <xf numFmtId="182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182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181" fontId="0" fillId="0" borderId="1" xfId="0" applyNumberFormat="1" applyFont="1" applyBorder="1" applyAlignment="1">
      <alignment horizontal="center" vertical="center"/>
    </xf>
    <xf numFmtId="182" fontId="0" fillId="0" borderId="1" xfId="0" applyNumberFormat="1" applyFont="1" applyBorder="1" applyAlignment="1">
      <alignment horizontal="center" vertical="center"/>
    </xf>
    <xf numFmtId="180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81" fontId="0" fillId="0" borderId="2" xfId="0" applyNumberFormat="1" applyFont="1" applyBorder="1" applyAlignment="1">
      <alignment horizontal="center" vertical="center"/>
    </xf>
    <xf numFmtId="182" fontId="0" fillId="0" borderId="2" xfId="0" applyNumberFormat="1" applyFont="1" applyBorder="1" applyAlignment="1">
      <alignment horizontal="center" vertical="center"/>
    </xf>
    <xf numFmtId="180" fontId="0" fillId="0" borderId="2" xfId="0" applyNumberFormat="1" applyFont="1" applyBorder="1" applyAlignment="1">
      <alignment horizontal="center" vertical="center"/>
    </xf>
    <xf numFmtId="181" fontId="0" fillId="0" borderId="0" xfId="0" applyNumberFormat="1" applyFont="1" applyBorder="1" applyAlignment="1">
      <alignment vertical="center"/>
    </xf>
    <xf numFmtId="182" fontId="0" fillId="0" borderId="14" xfId="0" applyNumberFormat="1" applyFont="1" applyBorder="1" applyAlignment="1">
      <alignment vertical="center"/>
    </xf>
    <xf numFmtId="181" fontId="0" fillId="0" borderId="3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2" fontId="6" fillId="0" borderId="14" xfId="0" applyNumberFormat="1" applyFont="1" applyBorder="1" applyAlignment="1">
      <alignment vertical="center"/>
    </xf>
    <xf numFmtId="182" fontId="10" fillId="0" borderId="14" xfId="0" applyNumberFormat="1" applyFont="1" applyBorder="1" applyAlignment="1">
      <alignment horizontal="right" vertical="center"/>
    </xf>
    <xf numFmtId="180" fontId="10" fillId="0" borderId="14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179" fontId="10" fillId="0" borderId="4" xfId="0" applyNumberFormat="1" applyFont="1" applyBorder="1" applyAlignment="1">
      <alignment horizontal="right" vertical="center"/>
    </xf>
    <xf numFmtId="179" fontId="10" fillId="0" borderId="17" xfId="0" applyNumberFormat="1" applyFont="1" applyBorder="1" applyAlignment="1">
      <alignment horizontal="right" vertical="center"/>
    </xf>
    <xf numFmtId="179" fontId="0" fillId="0" borderId="13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vertical="center"/>
    </xf>
    <xf numFmtId="179" fontId="6" fillId="0" borderId="13" xfId="0" applyNumberFormat="1" applyFont="1" applyBorder="1" applyAlignment="1">
      <alignment vertical="center"/>
    </xf>
    <xf numFmtId="179" fontId="6" fillId="0" borderId="14" xfId="0" applyNumberFormat="1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177" fontId="6" fillId="0" borderId="24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180" fontId="0" fillId="0" borderId="1" xfId="0" applyNumberFormat="1" applyFont="1" applyBorder="1" applyAlignment="1">
      <alignment horizontal="right" vertical="center"/>
    </xf>
    <xf numFmtId="180" fontId="0" fillId="0" borderId="4" xfId="0" applyNumberFormat="1" applyFont="1" applyBorder="1" applyAlignment="1">
      <alignment horizontal="right" vertical="center"/>
    </xf>
    <xf numFmtId="180" fontId="0" fillId="0" borderId="17" xfId="0" applyNumberFormat="1" applyFont="1" applyBorder="1" applyAlignment="1">
      <alignment horizontal="right" vertical="center"/>
    </xf>
    <xf numFmtId="177" fontId="0" fillId="0" borderId="14" xfId="0" applyNumberFormat="1" applyFont="1" applyFill="1" applyBorder="1" applyAlignment="1">
      <alignment vertical="center"/>
    </xf>
    <xf numFmtId="180" fontId="0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179" fontId="5" fillId="0" borderId="5" xfId="0" applyNumberFormat="1" applyFont="1" applyBorder="1" applyAlignment="1">
      <alignment horizontal="center" vertical="center"/>
    </xf>
    <xf numFmtId="177" fontId="0" fillId="0" borderId="33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180" fontId="15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180" fontId="16" fillId="0" borderId="0" xfId="0" applyNumberFormat="1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180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79" fontId="5" fillId="0" borderId="11" xfId="0" applyNumberFormat="1" applyFont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180" fontId="5" fillId="0" borderId="1" xfId="0" applyNumberFormat="1" applyFont="1" applyBorder="1" applyAlignment="1">
      <alignment horizontal="right" vertical="center"/>
    </xf>
    <xf numFmtId="179" fontId="5" fillId="0" borderId="4" xfId="0" applyNumberFormat="1" applyFont="1" applyBorder="1" applyAlignment="1">
      <alignment horizontal="right" vertical="center"/>
    </xf>
    <xf numFmtId="179" fontId="5" fillId="0" borderId="17" xfId="0" applyNumberFormat="1" applyFont="1" applyBorder="1" applyAlignment="1">
      <alignment horizontal="right" vertical="center"/>
    </xf>
    <xf numFmtId="177" fontId="17" fillId="0" borderId="0" xfId="0" applyNumberFormat="1" applyFont="1" applyAlignment="1">
      <alignment vertical="center"/>
    </xf>
    <xf numFmtId="177" fontId="5" fillId="0" borderId="13" xfId="0" applyNumberFormat="1" applyFont="1" applyBorder="1" applyAlignment="1">
      <alignment vertical="center"/>
    </xf>
    <xf numFmtId="180" fontId="5" fillId="0" borderId="10" xfId="0" applyNumberFormat="1" applyFont="1" applyBorder="1" applyAlignment="1">
      <alignment vertical="center"/>
    </xf>
    <xf numFmtId="179" fontId="5" fillId="0" borderId="13" xfId="0" applyNumberFormat="1" applyFont="1" applyBorder="1" applyAlignment="1">
      <alignment vertical="center"/>
    </xf>
    <xf numFmtId="179" fontId="5" fillId="0" borderId="14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80" fontId="5" fillId="0" borderId="5" xfId="0" applyNumberFormat="1" applyFont="1" applyBorder="1" applyAlignment="1">
      <alignment horizontal="center" vertical="center"/>
    </xf>
    <xf numFmtId="177" fontId="18" fillId="0" borderId="0" xfId="0" applyNumberFormat="1" applyFont="1" applyAlignment="1">
      <alignment vertical="center"/>
    </xf>
    <xf numFmtId="177" fontId="5" fillId="0" borderId="10" xfId="0" applyNumberFormat="1" applyFont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180" fontId="5" fillId="0" borderId="13" xfId="0" applyNumberFormat="1" applyFont="1" applyBorder="1" applyAlignment="1">
      <alignment vertical="center"/>
    </xf>
    <xf numFmtId="180" fontId="5" fillId="0" borderId="14" xfId="0" applyNumberFormat="1" applyFont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vertical="center"/>
    </xf>
    <xf numFmtId="180" fontId="5" fillId="0" borderId="13" xfId="0" applyNumberFormat="1" applyFont="1" applyFill="1" applyBorder="1" applyAlignment="1">
      <alignment vertical="center"/>
    </xf>
    <xf numFmtId="180" fontId="5" fillId="0" borderId="14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5" fillId="0" borderId="37" xfId="0" applyNumberFormat="1" applyFont="1" applyFill="1" applyBorder="1" applyAlignment="1">
      <alignment vertical="center"/>
    </xf>
    <xf numFmtId="180" fontId="5" fillId="0" borderId="35" xfId="0" applyNumberFormat="1" applyFont="1" applyBorder="1" applyAlignment="1">
      <alignment vertical="center"/>
    </xf>
    <xf numFmtId="180" fontId="5" fillId="0" borderId="36" xfId="0" applyNumberFormat="1" applyFont="1" applyBorder="1" applyAlignment="1">
      <alignment vertical="center"/>
    </xf>
    <xf numFmtId="180" fontId="5" fillId="0" borderId="37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177" fontId="5" fillId="0" borderId="3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80" fontId="5" fillId="0" borderId="2" xfId="0" applyNumberFormat="1" applyFont="1" applyBorder="1" applyAlignment="1">
      <alignment vertical="center"/>
    </xf>
    <xf numFmtId="180" fontId="5" fillId="0" borderId="3" xfId="0" applyNumberFormat="1" applyFont="1" applyBorder="1" applyAlignment="1">
      <alignment horizontal="right" vertical="center"/>
    </xf>
    <xf numFmtId="180" fontId="5" fillId="0" borderId="16" xfId="0" applyNumberFormat="1" applyFont="1" applyBorder="1" applyAlignment="1">
      <alignment horizontal="right" vertical="center"/>
    </xf>
    <xf numFmtId="180" fontId="5" fillId="0" borderId="2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12" fillId="0" borderId="0" xfId="0" applyNumberFormat="1" applyFont="1" applyAlignment="1">
      <alignment vertical="center"/>
    </xf>
    <xf numFmtId="177" fontId="12" fillId="0" borderId="13" xfId="0" applyNumberFormat="1" applyFont="1" applyBorder="1" applyAlignment="1">
      <alignment vertical="center"/>
    </xf>
    <xf numFmtId="177" fontId="12" fillId="0" borderId="14" xfId="0" applyNumberFormat="1" applyFont="1" applyBorder="1" applyAlignment="1">
      <alignment vertical="center"/>
    </xf>
    <xf numFmtId="180" fontId="12" fillId="0" borderId="10" xfId="0" applyNumberFormat="1" applyFont="1" applyBorder="1" applyAlignment="1">
      <alignment vertical="center"/>
    </xf>
    <xf numFmtId="179" fontId="12" fillId="0" borderId="13" xfId="0" applyNumberFormat="1" applyFont="1" applyBorder="1" applyAlignment="1">
      <alignment vertical="center"/>
    </xf>
    <xf numFmtId="179" fontId="12" fillId="0" borderId="14" xfId="0" applyNumberFormat="1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180" fontId="0" fillId="0" borderId="1" xfId="0" applyNumberFormat="1" applyFont="1" applyBorder="1" applyAlignment="1">
      <alignment horizontal="right" vertical="center"/>
    </xf>
    <xf numFmtId="180" fontId="0" fillId="0" borderId="4" xfId="0" applyNumberFormat="1" applyFont="1" applyBorder="1" applyAlignment="1">
      <alignment horizontal="right" vertical="center"/>
    </xf>
    <xf numFmtId="180" fontId="0" fillId="0" borderId="17" xfId="0" applyNumberFormat="1" applyFont="1" applyBorder="1" applyAlignment="1">
      <alignment horizontal="right" vertical="center"/>
    </xf>
    <xf numFmtId="177" fontId="5" fillId="0" borderId="38" xfId="0" applyNumberFormat="1" applyFont="1" applyBorder="1" applyAlignment="1">
      <alignment vertical="center"/>
    </xf>
    <xf numFmtId="177" fontId="5" fillId="0" borderId="39" xfId="0" applyNumberFormat="1" applyFont="1" applyBorder="1" applyAlignment="1">
      <alignment vertical="center"/>
    </xf>
    <xf numFmtId="177" fontId="5" fillId="0" borderId="40" xfId="0" applyNumberFormat="1" applyFont="1" applyFill="1" applyBorder="1" applyAlignment="1">
      <alignment vertical="center"/>
    </xf>
    <xf numFmtId="180" fontId="5" fillId="0" borderId="38" xfId="0" applyNumberFormat="1" applyFont="1" applyBorder="1" applyAlignment="1">
      <alignment vertical="center"/>
    </xf>
    <xf numFmtId="180" fontId="5" fillId="0" borderId="39" xfId="0" applyNumberFormat="1" applyFont="1" applyBorder="1" applyAlignment="1">
      <alignment vertical="center"/>
    </xf>
    <xf numFmtId="180" fontId="5" fillId="0" borderId="40" xfId="0" applyNumberFormat="1" applyFont="1" applyBorder="1" applyAlignment="1">
      <alignment vertical="center"/>
    </xf>
    <xf numFmtId="177" fontId="12" fillId="0" borderId="10" xfId="0" applyNumberFormat="1" applyFont="1" applyBorder="1" applyAlignment="1">
      <alignment vertical="center"/>
    </xf>
    <xf numFmtId="177" fontId="12" fillId="0" borderId="14" xfId="0" applyNumberFormat="1" applyFont="1" applyFill="1" applyBorder="1" applyAlignment="1">
      <alignment vertical="center"/>
    </xf>
    <xf numFmtId="180" fontId="12" fillId="0" borderId="13" xfId="0" applyNumberFormat="1" applyFont="1" applyBorder="1" applyAlignment="1">
      <alignment horizontal="right" vertical="center"/>
    </xf>
    <xf numFmtId="180" fontId="12" fillId="0" borderId="14" xfId="0" applyNumberFormat="1" applyFont="1" applyBorder="1" applyAlignment="1">
      <alignment horizontal="right" vertical="center"/>
    </xf>
    <xf numFmtId="177" fontId="12" fillId="0" borderId="41" xfId="0" applyNumberFormat="1" applyFont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180" fontId="0" fillId="0" borderId="24" xfId="0" applyNumberFormat="1" applyBorder="1" applyAlignment="1">
      <alignment vertical="center"/>
    </xf>
    <xf numFmtId="180" fontId="0" fillId="0" borderId="34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81" fontId="0" fillId="0" borderId="44" xfId="0" applyNumberFormat="1" applyBorder="1" applyAlignment="1">
      <alignment vertical="center"/>
    </xf>
    <xf numFmtId="177" fontId="0" fillId="0" borderId="44" xfId="0" applyNumberFormat="1" applyBorder="1" applyAlignment="1">
      <alignment vertical="center"/>
    </xf>
    <xf numFmtId="178" fontId="0" fillId="0" borderId="46" xfId="0" applyNumberFormat="1" applyBorder="1" applyAlignment="1">
      <alignment vertical="center"/>
    </xf>
    <xf numFmtId="181" fontId="0" fillId="0" borderId="42" xfId="0" applyNumberFormat="1" applyBorder="1" applyAlignment="1">
      <alignment vertical="center"/>
    </xf>
    <xf numFmtId="177" fontId="0" fillId="0" borderId="42" xfId="0" applyNumberFormat="1" applyBorder="1" applyAlignment="1">
      <alignment vertical="center"/>
    </xf>
    <xf numFmtId="178" fontId="0" fillId="0" borderId="47" xfId="0" applyNumberFormat="1" applyBorder="1" applyAlignment="1">
      <alignment vertical="center"/>
    </xf>
    <xf numFmtId="181" fontId="0" fillId="0" borderId="48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181" fontId="0" fillId="0" borderId="31" xfId="0" applyNumberFormat="1" applyBorder="1" applyAlignment="1">
      <alignment horizontal="center" vertical="center"/>
    </xf>
    <xf numFmtId="181" fontId="6" fillId="0" borderId="50" xfId="0" applyNumberFormat="1" applyFont="1" applyBorder="1" applyAlignment="1">
      <alignment horizontal="center" vertical="center"/>
    </xf>
    <xf numFmtId="181" fontId="6" fillId="0" borderId="45" xfId="0" applyNumberFormat="1" applyFont="1" applyBorder="1" applyAlignment="1">
      <alignment vertical="center"/>
    </xf>
    <xf numFmtId="181" fontId="6" fillId="0" borderId="43" xfId="0" applyNumberFormat="1" applyFont="1" applyBorder="1" applyAlignment="1">
      <alignment vertical="center"/>
    </xf>
    <xf numFmtId="181" fontId="6" fillId="0" borderId="16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180" fontId="10" fillId="0" borderId="10" xfId="0" applyNumberFormat="1" applyFont="1" applyBorder="1" applyAlignment="1">
      <alignment horizontal="right" vertical="center"/>
    </xf>
    <xf numFmtId="180" fontId="10" fillId="0" borderId="0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181" fontId="19" fillId="0" borderId="17" xfId="0" applyNumberFormat="1" applyFont="1" applyBorder="1" applyAlignment="1">
      <alignment horizontal="right" vertical="center"/>
    </xf>
    <xf numFmtId="177" fontId="10" fillId="0" borderId="4" xfId="0" applyNumberFormat="1" applyFont="1" applyBorder="1" applyAlignment="1">
      <alignment horizontal="right" vertical="center"/>
    </xf>
    <xf numFmtId="178" fontId="10" fillId="0" borderId="1" xfId="0" applyNumberFormat="1" applyFont="1" applyBorder="1" applyAlignment="1">
      <alignment horizontal="right" vertical="center"/>
    </xf>
    <xf numFmtId="179" fontId="10" fillId="0" borderId="12" xfId="0" applyNumberFormat="1" applyFont="1" applyBorder="1" applyAlignment="1">
      <alignment horizontal="right" vertical="center"/>
    </xf>
    <xf numFmtId="0" fontId="19" fillId="0" borderId="17" xfId="0" applyFont="1" applyBorder="1" applyAlignment="1">
      <alignment horizontal="right" vertical="center"/>
    </xf>
    <xf numFmtId="180" fontId="10" fillId="0" borderId="12" xfId="0" applyNumberFormat="1" applyFont="1" applyBorder="1" applyAlignment="1">
      <alignment horizontal="right" vertical="center"/>
    </xf>
    <xf numFmtId="181" fontId="6" fillId="0" borderId="51" xfId="0" applyNumberFormat="1" applyFont="1" applyBorder="1" applyAlignment="1">
      <alignment horizontal="center" vertical="center"/>
    </xf>
    <xf numFmtId="179" fontId="19" fillId="0" borderId="17" xfId="0" applyNumberFormat="1" applyFont="1" applyBorder="1" applyAlignment="1">
      <alignment horizontal="right" vertical="center"/>
    </xf>
    <xf numFmtId="179" fontId="6" fillId="0" borderId="16" xfId="0" applyNumberFormat="1" applyFont="1" applyBorder="1" applyAlignment="1">
      <alignment vertical="center"/>
    </xf>
    <xf numFmtId="180" fontId="19" fillId="0" borderId="14" xfId="0" applyNumberFormat="1" applyFont="1" applyBorder="1" applyAlignment="1">
      <alignment horizontal="right" vertical="center"/>
    </xf>
    <xf numFmtId="179" fontId="6" fillId="0" borderId="45" xfId="0" applyNumberFormat="1" applyFont="1" applyBorder="1" applyAlignment="1">
      <alignment vertical="center"/>
    </xf>
    <xf numFmtId="179" fontId="6" fillId="0" borderId="43" xfId="0" applyNumberFormat="1" applyFont="1" applyBorder="1" applyAlignment="1">
      <alignment vertical="center"/>
    </xf>
    <xf numFmtId="180" fontId="19" fillId="0" borderId="17" xfId="0" applyNumberFormat="1" applyFont="1" applyBorder="1" applyAlignment="1">
      <alignment horizontal="right" vertical="center"/>
    </xf>
    <xf numFmtId="177" fontId="15" fillId="0" borderId="0" xfId="0" applyNumberFormat="1" applyFont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57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176" fontId="0" fillId="0" borderId="13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80" fontId="0" fillId="0" borderId="57" xfId="0" applyNumberFormat="1" applyBorder="1" applyAlignment="1">
      <alignment vertical="center"/>
    </xf>
    <xf numFmtId="180" fontId="0" fillId="0" borderId="13" xfId="0" applyNumberFormat="1" applyBorder="1" applyAlignment="1">
      <alignment vertical="center"/>
    </xf>
    <xf numFmtId="180" fontId="0" fillId="0" borderId="53" xfId="0" applyNumberFormat="1" applyBorder="1" applyAlignment="1">
      <alignment vertical="center"/>
    </xf>
    <xf numFmtId="180" fontId="0" fillId="0" borderId="58" xfId="0" applyNumberFormat="1" applyBorder="1" applyAlignment="1">
      <alignment vertical="center"/>
    </xf>
    <xf numFmtId="180" fontId="0" fillId="0" borderId="43" xfId="0" applyNumberFormat="1" applyBorder="1" applyAlignment="1">
      <alignment vertical="center"/>
    </xf>
    <xf numFmtId="180" fontId="0" fillId="0" borderId="42" xfId="0" applyNumberFormat="1" applyBorder="1" applyAlignment="1">
      <alignment vertical="center"/>
    </xf>
    <xf numFmtId="180" fontId="0" fillId="0" borderId="8" xfId="0" applyNumberFormat="1" applyBorder="1" applyAlignment="1">
      <alignment vertical="center"/>
    </xf>
    <xf numFmtId="180" fontId="0" fillId="0" borderId="59" xfId="0" applyNumberFormat="1" applyBorder="1" applyAlignment="1">
      <alignment vertical="center"/>
    </xf>
    <xf numFmtId="180" fontId="0" fillId="0" borderId="55" xfId="0" applyNumberFormat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10" fillId="0" borderId="64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54" xfId="0" applyFont="1" applyBorder="1" applyAlignment="1">
      <alignment horizontal="right" vertical="center"/>
    </xf>
    <xf numFmtId="0" fontId="0" fillId="0" borderId="65" xfId="0" applyBorder="1" applyAlignment="1">
      <alignment horizontal="center" vertical="center"/>
    </xf>
    <xf numFmtId="176" fontId="0" fillId="0" borderId="57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59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83" fontId="0" fillId="0" borderId="14" xfId="0" applyNumberFormat="1" applyBorder="1" applyAlignment="1">
      <alignment vertical="center"/>
    </xf>
    <xf numFmtId="183" fontId="0" fillId="0" borderId="16" xfId="0" applyNumberFormat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76" fontId="10" fillId="0" borderId="44" xfId="0" applyNumberFormat="1" applyFont="1" applyBorder="1" applyAlignment="1">
      <alignment horizontal="right" vertical="center"/>
    </xf>
    <xf numFmtId="176" fontId="10" fillId="0" borderId="13" xfId="0" applyNumberFormat="1" applyFont="1" applyBorder="1" applyAlignment="1">
      <alignment horizontal="right" vertical="center"/>
    </xf>
    <xf numFmtId="183" fontId="0" fillId="0" borderId="54" xfId="0" applyNumberFormat="1" applyBorder="1" applyAlignment="1">
      <alignment vertical="center"/>
    </xf>
    <xf numFmtId="183" fontId="0" fillId="0" borderId="53" xfId="0" applyNumberFormat="1" applyBorder="1" applyAlignment="1">
      <alignment vertical="center"/>
    </xf>
    <xf numFmtId="183" fontId="0" fillId="0" borderId="8" xfId="0" applyNumberFormat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183" fontId="0" fillId="0" borderId="0" xfId="0" applyNumberFormat="1" applyAlignment="1">
      <alignment vertical="center"/>
    </xf>
    <xf numFmtId="181" fontId="7" fillId="0" borderId="0" xfId="0" applyNumberFormat="1" applyFont="1" applyAlignment="1">
      <alignment vertical="center"/>
    </xf>
    <xf numFmtId="183" fontId="7" fillId="0" borderId="0" xfId="0" applyNumberFormat="1" applyFont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10" fillId="0" borderId="12" xfId="0" applyFont="1" applyBorder="1" applyAlignment="1">
      <alignment horizontal="right" vertical="center"/>
    </xf>
    <xf numFmtId="177" fontId="0" fillId="0" borderId="2" xfId="0" applyNumberFormat="1" applyFont="1" applyBorder="1" applyAlignment="1">
      <alignment vertical="center"/>
    </xf>
    <xf numFmtId="177" fontId="0" fillId="0" borderId="3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81" fontId="0" fillId="0" borderId="15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177" fontId="20" fillId="0" borderId="0" xfId="0" applyNumberFormat="1" applyFont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14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left" vertical="center"/>
    </xf>
    <xf numFmtId="181" fontId="0" fillId="0" borderId="1" xfId="0" applyNumberForma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181" fontId="0" fillId="0" borderId="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21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177" fontId="26" fillId="0" borderId="0" xfId="0" applyNumberFormat="1" applyFont="1" applyAlignment="1">
      <alignment vertical="center"/>
    </xf>
    <xf numFmtId="177" fontId="24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181" fontId="24" fillId="0" borderId="0" xfId="0" applyNumberFormat="1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2" borderId="66" xfId="20" applyFont="1" applyFill="1" applyBorder="1" applyAlignment="1">
      <alignment horizontal="center" vertical="center"/>
      <protection/>
    </xf>
    <xf numFmtId="0" fontId="28" fillId="0" borderId="56" xfId="20" applyFont="1" applyFill="1" applyBorder="1" applyAlignment="1">
      <alignment horizontal="center"/>
      <protection/>
    </xf>
    <xf numFmtId="179" fontId="28" fillId="0" borderId="56" xfId="20" applyNumberFormat="1" applyFont="1" applyFill="1" applyBorder="1" applyAlignment="1">
      <alignment horizontal="center"/>
      <protection/>
    </xf>
    <xf numFmtId="0" fontId="0" fillId="0" borderId="0" xfId="0" applyFill="1" applyAlignment="1">
      <alignment vertical="center"/>
    </xf>
    <xf numFmtId="0" fontId="28" fillId="2" borderId="21" xfId="20" applyFont="1" applyFill="1" applyBorder="1" applyAlignment="1">
      <alignment horizontal="right"/>
      <protection/>
    </xf>
    <xf numFmtId="179" fontId="28" fillId="2" borderId="64" xfId="20" applyNumberFormat="1" applyFont="1" applyFill="1" applyBorder="1" applyAlignment="1">
      <alignment horizontal="right"/>
      <protection/>
    </xf>
    <xf numFmtId="0" fontId="28" fillId="2" borderId="64" xfId="20" applyFont="1" applyFill="1" applyBorder="1" applyAlignment="1">
      <alignment horizontal="right"/>
      <protection/>
    </xf>
    <xf numFmtId="0" fontId="28" fillId="3" borderId="66" xfId="20" applyFont="1" applyFill="1" applyBorder="1" applyAlignment="1">
      <alignment horizontal="left" wrapText="1"/>
      <protection/>
    </xf>
    <xf numFmtId="38" fontId="28" fillId="3" borderId="57" xfId="16" applyFont="1" applyFill="1" applyBorder="1" applyAlignment="1">
      <alignment horizontal="right" wrapText="1"/>
    </xf>
    <xf numFmtId="38" fontId="28" fillId="3" borderId="24" xfId="16" applyFont="1" applyFill="1" applyBorder="1" applyAlignment="1">
      <alignment horizontal="right" wrapText="1"/>
    </xf>
    <xf numFmtId="179" fontId="28" fillId="3" borderId="24" xfId="16" applyNumberFormat="1" applyFont="1" applyFill="1" applyBorder="1" applyAlignment="1">
      <alignment horizontal="right" wrapText="1"/>
    </xf>
    <xf numFmtId="0" fontId="28" fillId="0" borderId="31" xfId="20" applyFont="1" applyFill="1" applyBorder="1" applyAlignment="1">
      <alignment horizontal="left" wrapText="1"/>
      <protection/>
    </xf>
    <xf numFmtId="38" fontId="28" fillId="0" borderId="56" xfId="16" applyFont="1" applyFill="1" applyBorder="1" applyAlignment="1">
      <alignment horizontal="right" wrapText="1"/>
    </xf>
    <xf numFmtId="38" fontId="28" fillId="0" borderId="67" xfId="16" applyFont="1" applyFill="1" applyBorder="1" applyAlignment="1">
      <alignment horizontal="right" wrapText="1"/>
    </xf>
    <xf numFmtId="179" fontId="28" fillId="0" borderId="67" xfId="16" applyNumberFormat="1" applyFont="1" applyFill="1" applyBorder="1" applyAlignment="1">
      <alignment horizontal="right" wrapText="1"/>
    </xf>
    <xf numFmtId="0" fontId="28" fillId="3" borderId="68" xfId="20" applyFont="1" applyFill="1" applyBorder="1" applyAlignment="1">
      <alignment horizontal="left" wrapText="1"/>
      <protection/>
    </xf>
    <xf numFmtId="38" fontId="28" fillId="3" borderId="59" xfId="16" applyFont="1" applyFill="1" applyBorder="1" applyAlignment="1">
      <alignment horizontal="right" wrapText="1"/>
    </xf>
    <xf numFmtId="38" fontId="28" fillId="3" borderId="25" xfId="16" applyFont="1" applyFill="1" applyBorder="1" applyAlignment="1">
      <alignment horizontal="right" wrapText="1"/>
    </xf>
    <xf numFmtId="179" fontId="28" fillId="3" borderId="25" xfId="16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179" fontId="28" fillId="0" borderId="9" xfId="20" applyNumberFormat="1" applyFont="1" applyFill="1" applyBorder="1" applyAlignment="1">
      <alignment horizontal="center"/>
      <protection/>
    </xf>
    <xf numFmtId="179" fontId="28" fillId="2" borderId="54" xfId="20" applyNumberFormat="1" applyFont="1" applyFill="1" applyBorder="1" applyAlignment="1">
      <alignment horizontal="right"/>
      <protection/>
    </xf>
    <xf numFmtId="179" fontId="28" fillId="3" borderId="57" xfId="16" applyNumberFormat="1" applyFont="1" applyFill="1" applyBorder="1" applyAlignment="1">
      <alignment horizontal="right" wrapText="1"/>
    </xf>
    <xf numFmtId="179" fontId="28" fillId="3" borderId="14" xfId="16" applyNumberFormat="1" applyFont="1" applyFill="1" applyBorder="1" applyAlignment="1">
      <alignment horizontal="right" wrapText="1"/>
    </xf>
    <xf numFmtId="179" fontId="28" fillId="0" borderId="56" xfId="16" applyNumberFormat="1" applyFont="1" applyFill="1" applyBorder="1" applyAlignment="1">
      <alignment horizontal="right" wrapText="1"/>
    </xf>
    <xf numFmtId="179" fontId="28" fillId="0" borderId="51" xfId="16" applyNumberFormat="1" applyFont="1" applyFill="1" applyBorder="1" applyAlignment="1">
      <alignment horizontal="right" wrapText="1"/>
    </xf>
    <xf numFmtId="179" fontId="28" fillId="3" borderId="59" xfId="16" applyNumberFormat="1" applyFont="1" applyFill="1" applyBorder="1" applyAlignment="1">
      <alignment horizontal="right" wrapText="1"/>
    </xf>
    <xf numFmtId="179" fontId="28" fillId="3" borderId="16" xfId="16" applyNumberFormat="1" applyFont="1" applyFill="1" applyBorder="1" applyAlignment="1">
      <alignment horizontal="right" wrapText="1"/>
    </xf>
    <xf numFmtId="179" fontId="28" fillId="3" borderId="0" xfId="16" applyNumberFormat="1" applyFont="1" applyFill="1" applyBorder="1" applyAlignment="1">
      <alignment horizontal="right" wrapText="1"/>
    </xf>
    <xf numFmtId="38" fontId="28" fillId="3" borderId="0" xfId="16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left" vertical="center"/>
    </xf>
    <xf numFmtId="181" fontId="22" fillId="0" borderId="0" xfId="0" applyNumberFormat="1" applyFont="1" applyFill="1" applyAlignment="1">
      <alignment vertical="center"/>
    </xf>
    <xf numFmtId="176" fontId="22" fillId="0" borderId="0" xfId="0" applyNumberFormat="1" applyFont="1" applyFill="1" applyAlignment="1">
      <alignment vertical="center"/>
    </xf>
    <xf numFmtId="179" fontId="22" fillId="0" borderId="0" xfId="0" applyNumberFormat="1" applyFont="1" applyAlignment="1">
      <alignment vertical="center"/>
    </xf>
    <xf numFmtId="185" fontId="22" fillId="0" borderId="0" xfId="0" applyNumberFormat="1" applyFont="1" applyAlignment="1">
      <alignment vertical="center"/>
    </xf>
    <xf numFmtId="186" fontId="22" fillId="0" borderId="0" xfId="0" applyNumberFormat="1" applyFont="1" applyAlignment="1">
      <alignment vertical="center"/>
    </xf>
    <xf numFmtId="176" fontId="22" fillId="0" borderId="0" xfId="0" applyNumberFormat="1" applyFont="1" applyAlignment="1">
      <alignment vertical="center"/>
    </xf>
    <xf numFmtId="177" fontId="22" fillId="0" borderId="0" xfId="0" applyNumberFormat="1" applyFont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181" fontId="22" fillId="0" borderId="4" xfId="0" applyNumberFormat="1" applyFont="1" applyFill="1" applyBorder="1" applyAlignment="1">
      <alignment horizontal="center" vertical="center"/>
    </xf>
    <xf numFmtId="176" fontId="22" fillId="0" borderId="69" xfId="0" applyNumberFormat="1" applyFont="1" applyFill="1" applyBorder="1" applyAlignment="1">
      <alignment vertical="center"/>
    </xf>
    <xf numFmtId="179" fontId="22" fillId="0" borderId="20" xfId="0" applyNumberFormat="1" applyFont="1" applyBorder="1" applyAlignment="1">
      <alignment vertical="center"/>
    </xf>
    <xf numFmtId="185" fontId="22" fillId="0" borderId="70" xfId="0" applyNumberFormat="1" applyFont="1" applyBorder="1" applyAlignment="1">
      <alignment vertical="center"/>
    </xf>
    <xf numFmtId="186" fontId="22" fillId="0" borderId="12" xfId="0" applyNumberFormat="1" applyFont="1" applyBorder="1" applyAlignment="1">
      <alignment vertical="center"/>
    </xf>
    <xf numFmtId="176" fontId="22" fillId="0" borderId="69" xfId="0" applyNumberFormat="1" applyFont="1" applyBorder="1" applyAlignment="1">
      <alignment vertical="center"/>
    </xf>
    <xf numFmtId="177" fontId="22" fillId="0" borderId="12" xfId="0" applyNumberFormat="1" applyFont="1" applyBorder="1" applyAlignment="1">
      <alignment vertical="center"/>
    </xf>
    <xf numFmtId="181" fontId="22" fillId="0" borderId="13" xfId="0" applyNumberFormat="1" applyFont="1" applyFill="1" applyBorder="1" applyAlignment="1">
      <alignment horizontal="center" vertical="center"/>
    </xf>
    <xf numFmtId="176" fontId="22" fillId="0" borderId="57" xfId="0" applyNumberFormat="1" applyFont="1" applyFill="1" applyBorder="1" applyAlignment="1">
      <alignment vertical="center"/>
    </xf>
    <xf numFmtId="186" fontId="22" fillId="0" borderId="0" xfId="0" applyNumberFormat="1" applyFont="1" applyBorder="1" applyAlignment="1">
      <alignment horizontal="center" vertical="center"/>
    </xf>
    <xf numFmtId="187" fontId="22" fillId="0" borderId="57" xfId="0" applyNumberFormat="1" applyFont="1" applyBorder="1" applyAlignment="1">
      <alignment horizontal="center" vertical="center"/>
    </xf>
    <xf numFmtId="177" fontId="22" fillId="0" borderId="0" xfId="0" applyNumberFormat="1" applyFont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81" fontId="22" fillId="0" borderId="3" xfId="0" applyNumberFormat="1" applyFont="1" applyFill="1" applyBorder="1" applyAlignment="1">
      <alignment horizontal="center" vertical="center"/>
    </xf>
    <xf numFmtId="176" fontId="22" fillId="0" borderId="59" xfId="0" applyNumberFormat="1" applyFont="1" applyFill="1" applyBorder="1" applyAlignment="1">
      <alignment vertical="center"/>
    </xf>
    <xf numFmtId="186" fontId="22" fillId="0" borderId="15" xfId="0" applyNumberFormat="1" applyFont="1" applyBorder="1" applyAlignment="1">
      <alignment horizontal="center" vertical="center"/>
    </xf>
    <xf numFmtId="187" fontId="22" fillId="0" borderId="59" xfId="0" applyNumberFormat="1" applyFont="1" applyBorder="1" applyAlignment="1">
      <alignment horizontal="center" vertical="center"/>
    </xf>
    <xf numFmtId="177" fontId="22" fillId="0" borderId="15" xfId="0" applyNumberFormat="1" applyFont="1" applyBorder="1" applyAlignment="1">
      <alignment horizontal="center" vertical="center"/>
    </xf>
    <xf numFmtId="181" fontId="22" fillId="0" borderId="4" xfId="0" applyNumberFormat="1" applyFont="1" applyFill="1" applyBorder="1" applyAlignment="1">
      <alignment horizontal="right" vertical="center"/>
    </xf>
    <xf numFmtId="176" fontId="22" fillId="0" borderId="12" xfId="0" applyNumberFormat="1" applyFont="1" applyFill="1" applyBorder="1" applyAlignment="1">
      <alignment horizontal="right" vertical="center"/>
    </xf>
    <xf numFmtId="181" fontId="22" fillId="0" borderId="12" xfId="0" applyNumberFormat="1" applyFont="1" applyBorder="1" applyAlignment="1">
      <alignment horizontal="right" vertical="center"/>
    </xf>
    <xf numFmtId="185" fontId="22" fillId="0" borderId="12" xfId="0" applyNumberFormat="1" applyFont="1" applyBorder="1" applyAlignment="1">
      <alignment horizontal="right" vertical="center"/>
    </xf>
    <xf numFmtId="176" fontId="22" fillId="0" borderId="12" xfId="0" applyNumberFormat="1" applyFont="1" applyBorder="1" applyAlignment="1">
      <alignment horizontal="right" vertical="center"/>
    </xf>
    <xf numFmtId="177" fontId="22" fillId="0" borderId="12" xfId="0" applyNumberFormat="1" applyFont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center"/>
    </xf>
    <xf numFmtId="181" fontId="21" fillId="0" borderId="13" xfId="0" applyNumberFormat="1" applyFont="1" applyFill="1" applyBorder="1" applyAlignment="1">
      <alignment horizontal="center" vertical="center"/>
    </xf>
    <xf numFmtId="181" fontId="21" fillId="0" borderId="0" xfId="0" applyNumberFormat="1" applyFont="1" applyFill="1" applyBorder="1" applyAlignment="1">
      <alignment horizontal="center" vertical="center"/>
    </xf>
    <xf numFmtId="179" fontId="21" fillId="0" borderId="0" xfId="0" applyNumberFormat="1" applyFont="1" applyBorder="1" applyAlignment="1">
      <alignment vertical="center"/>
    </xf>
    <xf numFmtId="185" fontId="21" fillId="0" borderId="0" xfId="0" applyNumberFormat="1" applyFont="1" applyBorder="1" applyAlignment="1">
      <alignment horizontal="center" vertical="center"/>
    </xf>
    <xf numFmtId="186" fontId="21" fillId="0" borderId="0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176" fontId="22" fillId="0" borderId="0" xfId="0" applyNumberFormat="1" applyFont="1" applyFill="1" applyBorder="1" applyAlignment="1">
      <alignment vertical="center"/>
    </xf>
    <xf numFmtId="179" fontId="22" fillId="0" borderId="0" xfId="0" applyNumberFormat="1" applyFont="1" applyBorder="1" applyAlignment="1">
      <alignment vertical="center"/>
    </xf>
    <xf numFmtId="185" fontId="22" fillId="0" borderId="0" xfId="0" applyNumberFormat="1" applyFont="1" applyBorder="1" applyAlignment="1">
      <alignment vertical="center"/>
    </xf>
    <xf numFmtId="186" fontId="22" fillId="0" borderId="0" xfId="0" applyNumberFormat="1" applyFont="1" applyBorder="1" applyAlignment="1">
      <alignment vertical="center"/>
    </xf>
    <xf numFmtId="176" fontId="22" fillId="0" borderId="0" xfId="0" applyNumberFormat="1" applyFont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181" fontId="22" fillId="0" borderId="13" xfId="0" applyNumberFormat="1" applyFont="1" applyFill="1" applyBorder="1" applyAlignment="1">
      <alignment horizontal="right"/>
    </xf>
    <xf numFmtId="0" fontId="32" fillId="0" borderId="0" xfId="0" applyFont="1" applyAlignment="1">
      <alignment vertical="center"/>
    </xf>
    <xf numFmtId="49" fontId="22" fillId="0" borderId="0" xfId="0" applyNumberFormat="1" applyFont="1" applyFill="1" applyBorder="1" applyAlignment="1">
      <alignment horizontal="center" vertical="top"/>
    </xf>
    <xf numFmtId="176" fontId="22" fillId="0" borderId="0" xfId="0" applyNumberFormat="1" applyFont="1" applyFill="1" applyBorder="1" applyAlignment="1">
      <alignment vertical="top"/>
    </xf>
    <xf numFmtId="0" fontId="32" fillId="0" borderId="0" xfId="0" applyFont="1" applyAlignment="1">
      <alignment vertical="top"/>
    </xf>
    <xf numFmtId="49" fontId="30" fillId="0" borderId="0" xfId="0" applyNumberFormat="1" applyFont="1" applyFill="1" applyBorder="1" applyAlignment="1">
      <alignment horizontal="left" vertical="center"/>
    </xf>
    <xf numFmtId="181" fontId="21" fillId="0" borderId="13" xfId="0" applyNumberFormat="1" applyFont="1" applyFill="1" applyBorder="1" applyAlignment="1">
      <alignment horizontal="right"/>
    </xf>
    <xf numFmtId="181" fontId="21" fillId="0" borderId="0" xfId="0" applyNumberFormat="1" applyFont="1" applyFill="1" applyBorder="1" applyAlignment="1">
      <alignment horizontal="right"/>
    </xf>
    <xf numFmtId="185" fontId="21" fillId="0" borderId="0" xfId="0" applyNumberFormat="1" applyFont="1" applyBorder="1" applyAlignment="1">
      <alignment vertical="center"/>
    </xf>
    <xf numFmtId="181" fontId="22" fillId="0" borderId="13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181" fontId="21" fillId="0" borderId="13" xfId="0" applyNumberFormat="1" applyFont="1" applyFill="1" applyBorder="1" applyAlignment="1">
      <alignment vertical="center"/>
    </xf>
    <xf numFmtId="181" fontId="21" fillId="0" borderId="0" xfId="0" applyNumberFormat="1" applyFont="1" applyFill="1" applyBorder="1" applyAlignment="1">
      <alignment vertical="center"/>
    </xf>
    <xf numFmtId="181" fontId="22" fillId="0" borderId="0" xfId="0" applyNumberFormat="1" applyFont="1" applyFill="1" applyBorder="1" applyAlignment="1">
      <alignment vertical="center"/>
    </xf>
    <xf numFmtId="179" fontId="33" fillId="0" borderId="0" xfId="0" applyNumberFormat="1" applyFont="1" applyBorder="1" applyAlignment="1">
      <alignment vertical="center"/>
    </xf>
    <xf numFmtId="185" fontId="33" fillId="0" borderId="0" xfId="0" applyNumberFormat="1" applyFont="1" applyBorder="1" applyAlignment="1">
      <alignment vertical="center"/>
    </xf>
    <xf numFmtId="181" fontId="0" fillId="0" borderId="71" xfId="0" applyNumberForma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0" fillId="0" borderId="4" xfId="0" applyNumberForma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80" fontId="0" fillId="0" borderId="4" xfId="0" applyNumberFormat="1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181" fontId="0" fillId="0" borderId="5" xfId="0" applyNumberFormat="1" applyBorder="1" applyAlignment="1">
      <alignment horizontal="center" vertical="center"/>
    </xf>
    <xf numFmtId="180" fontId="0" fillId="0" borderId="72" xfId="0" applyNumberFormat="1" applyBorder="1" applyAlignment="1">
      <alignment horizontal="center" vertical="center"/>
    </xf>
    <xf numFmtId="180" fontId="0" fillId="0" borderId="19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9" fontId="5" fillId="0" borderId="5" xfId="0" applyNumberFormat="1" applyFont="1" applyBorder="1" applyAlignment="1">
      <alignment horizontal="center" vertical="center"/>
    </xf>
    <xf numFmtId="179" fontId="5" fillId="0" borderId="18" xfId="0" applyNumberFormat="1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180" fontId="5" fillId="0" borderId="4" xfId="0" applyNumberFormat="1" applyFont="1" applyBorder="1" applyAlignment="1">
      <alignment horizontal="center" vertical="center"/>
    </xf>
    <xf numFmtId="180" fontId="5" fillId="0" borderId="17" xfId="0" applyNumberFormat="1" applyFont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80" fontId="5" fillId="0" borderId="15" xfId="0" applyNumberFormat="1" applyFont="1" applyBorder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/>
    </xf>
    <xf numFmtId="181" fontId="5" fillId="0" borderId="0" xfId="0" applyNumberFormat="1" applyFont="1" applyAlignment="1">
      <alignment horizontal="center" vertical="center"/>
    </xf>
    <xf numFmtId="181" fontId="0" fillId="0" borderId="18" xfId="0" applyNumberFormat="1" applyBorder="1" applyAlignment="1">
      <alignment horizontal="center" vertical="center"/>
    </xf>
    <xf numFmtId="179" fontId="0" fillId="0" borderId="5" xfId="0" applyNumberFormat="1" applyBorder="1" applyAlignment="1">
      <alignment horizontal="center" vertical="center"/>
    </xf>
    <xf numFmtId="179" fontId="0" fillId="0" borderId="18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3" borderId="12" xfId="20" applyFont="1" applyFill="1" applyBorder="1" applyAlignment="1">
      <alignment horizontal="left" wrapText="1"/>
      <protection/>
    </xf>
    <xf numFmtId="0" fontId="28" fillId="2" borderId="77" xfId="20" applyFont="1" applyFill="1" applyBorder="1" applyAlignment="1">
      <alignment horizontal="center" vertical="center"/>
      <protection/>
    </xf>
    <xf numFmtId="0" fontId="28" fillId="2" borderId="66" xfId="20" applyFont="1" applyFill="1" applyBorder="1" applyAlignment="1">
      <alignment horizontal="center" vertical="center"/>
      <protection/>
    </xf>
    <xf numFmtId="0" fontId="28" fillId="2" borderId="30" xfId="20" applyFont="1" applyFill="1" applyBorder="1" applyAlignment="1">
      <alignment horizontal="center" vertical="center"/>
      <protection/>
    </xf>
    <xf numFmtId="0" fontId="0" fillId="0" borderId="78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9" xfId="0" applyBorder="1" applyAlignment="1">
      <alignment horizontal="center"/>
    </xf>
    <xf numFmtId="183" fontId="0" fillId="0" borderId="78" xfId="0" applyNumberFormat="1" applyBorder="1" applyAlignment="1">
      <alignment horizontal="center"/>
    </xf>
    <xf numFmtId="183" fontId="0" fillId="0" borderId="76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67" xfId="0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179" fontId="0" fillId="0" borderId="80" xfId="0" applyNumberFormat="1" applyBorder="1" applyAlignment="1">
      <alignment horizontal="center"/>
    </xf>
    <xf numFmtId="179" fontId="0" fillId="0" borderId="67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179" fontId="0" fillId="0" borderId="51" xfId="0" applyNumberFormat="1" applyBorder="1" applyAlignment="1">
      <alignment horizontal="center"/>
    </xf>
    <xf numFmtId="183" fontId="0" fillId="0" borderId="79" xfId="0" applyNumberFormat="1" applyBorder="1" applyAlignment="1">
      <alignment horizontal="center"/>
    </xf>
    <xf numFmtId="0" fontId="29" fillId="0" borderId="14" xfId="0" applyFont="1" applyFill="1" applyBorder="1" applyAlignment="1">
      <alignment horizontal="center" vertical="center"/>
    </xf>
    <xf numFmtId="181" fontId="22" fillId="0" borderId="13" xfId="0" applyNumberFormat="1" applyFont="1" applyFill="1" applyBorder="1" applyAlignment="1">
      <alignment horizontal="center" vertical="center"/>
    </xf>
    <xf numFmtId="179" fontId="22" fillId="0" borderId="23" xfId="0" applyNumberFormat="1" applyFont="1" applyBorder="1" applyAlignment="1">
      <alignment horizontal="center" vertical="center"/>
    </xf>
    <xf numFmtId="179" fontId="22" fillId="0" borderId="34" xfId="0" applyNumberFormat="1" applyFont="1" applyBorder="1" applyAlignment="1">
      <alignment horizontal="center" vertical="center"/>
    </xf>
    <xf numFmtId="179" fontId="22" fillId="0" borderId="26" xfId="0" applyNumberFormat="1" applyFont="1" applyBorder="1" applyAlignment="1">
      <alignment horizontal="center" vertical="center"/>
    </xf>
    <xf numFmtId="179" fontId="22" fillId="0" borderId="22" xfId="0" applyNumberFormat="1" applyFont="1" applyBorder="1" applyAlignment="1">
      <alignment horizontal="center" vertical="center"/>
    </xf>
    <xf numFmtId="185" fontId="22" fillId="0" borderId="64" xfId="0" applyNumberFormat="1" applyFont="1" applyBorder="1" applyAlignment="1">
      <alignment horizontal="center" vertical="center"/>
    </xf>
    <xf numFmtId="185" fontId="22" fillId="0" borderId="59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３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tabColor indexed="45"/>
  </sheetPr>
  <dimension ref="A1:H38"/>
  <sheetViews>
    <sheetView tabSelected="1" zoomScale="75" zoomScaleNormal="75" workbookViewId="0" topLeftCell="A1">
      <selection activeCell="A6" sqref="A6:H6"/>
    </sheetView>
  </sheetViews>
  <sheetFormatPr defaultColWidth="9.00390625" defaultRowHeight="13.5"/>
  <cols>
    <col min="1" max="1" width="9.375" style="10" customWidth="1"/>
    <col min="2" max="2" width="9.00390625" style="10" customWidth="1"/>
    <col min="3" max="3" width="11.00390625" style="0" customWidth="1"/>
    <col min="4" max="4" width="11.125" style="0" customWidth="1"/>
    <col min="5" max="6" width="9.00390625" style="35" customWidth="1"/>
    <col min="7" max="7" width="12.50390625" style="22" customWidth="1"/>
    <col min="8" max="8" width="9.25390625" style="35" customWidth="1"/>
  </cols>
  <sheetData>
    <row r="1" spans="1:8" ht="23.25" customHeight="1">
      <c r="A1" s="594" t="s">
        <v>118</v>
      </c>
      <c r="B1" s="594"/>
      <c r="C1" s="594"/>
      <c r="D1" s="594"/>
      <c r="E1" s="594"/>
      <c r="F1" s="594"/>
      <c r="G1" s="594"/>
      <c r="H1" s="594"/>
    </row>
    <row r="2" spans="1:8" ht="23.25" customHeight="1">
      <c r="A2" s="87"/>
      <c r="B2" s="87"/>
      <c r="C2" s="87"/>
      <c r="D2" s="87"/>
      <c r="E2" s="87"/>
      <c r="F2" s="87"/>
      <c r="G2" s="87"/>
      <c r="H2" s="87"/>
    </row>
    <row r="3" ht="17.25">
      <c r="A3" s="465" t="s">
        <v>354</v>
      </c>
    </row>
    <row r="4" ht="18">
      <c r="A4" s="95"/>
    </row>
    <row r="5" spans="1:8" s="463" customFormat="1" ht="18" customHeight="1">
      <c r="A5" s="592" t="s">
        <v>119</v>
      </c>
      <c r="B5" s="592"/>
      <c r="C5" s="592"/>
      <c r="D5" s="592"/>
      <c r="E5" s="592"/>
      <c r="F5" s="592"/>
      <c r="G5" s="592"/>
      <c r="H5" s="592"/>
    </row>
    <row r="6" spans="1:8" s="463" customFormat="1" ht="18" customHeight="1">
      <c r="A6" s="592" t="s">
        <v>120</v>
      </c>
      <c r="B6" s="592"/>
      <c r="C6" s="592"/>
      <c r="D6" s="592"/>
      <c r="E6" s="592"/>
      <c r="F6" s="592"/>
      <c r="G6" s="592"/>
      <c r="H6" s="592"/>
    </row>
    <row r="7" spans="1:8" s="463" customFormat="1" ht="18" customHeight="1">
      <c r="A7" s="592" t="s">
        <v>121</v>
      </c>
      <c r="B7" s="592"/>
      <c r="C7" s="592"/>
      <c r="D7" s="592"/>
      <c r="E7" s="592"/>
      <c r="F7" s="592"/>
      <c r="G7" s="592"/>
      <c r="H7" s="592"/>
    </row>
    <row r="8" spans="1:8" s="464" customFormat="1" ht="18" customHeight="1">
      <c r="A8" s="592" t="s">
        <v>122</v>
      </c>
      <c r="B8" s="592"/>
      <c r="C8" s="592"/>
      <c r="D8" s="592"/>
      <c r="E8" s="592"/>
      <c r="F8" s="592"/>
      <c r="G8" s="592"/>
      <c r="H8" s="592"/>
    </row>
    <row r="9" spans="1:8" ht="18" customHeight="1">
      <c r="A9" s="88"/>
      <c r="B9" s="88"/>
      <c r="C9" s="88"/>
      <c r="D9" s="88"/>
      <c r="E9" s="88"/>
      <c r="F9" s="88"/>
      <c r="G9" s="88"/>
      <c r="H9" s="88"/>
    </row>
    <row r="10" spans="1:8" ht="18" customHeight="1">
      <c r="A10" s="593"/>
      <c r="B10" s="593"/>
      <c r="C10" s="593"/>
      <c r="D10" s="593"/>
      <c r="E10" s="593"/>
      <c r="F10" s="593"/>
      <c r="G10" s="593"/>
      <c r="H10" s="593"/>
    </row>
    <row r="11" spans="1:8" ht="18" customHeight="1">
      <c r="A11" s="593"/>
      <c r="B11" s="593"/>
      <c r="C11" s="593"/>
      <c r="D11" s="593"/>
      <c r="E11" s="593"/>
      <c r="F11" s="593"/>
      <c r="G11" s="593"/>
      <c r="H11" s="593"/>
    </row>
    <row r="12" spans="1:2" ht="19.5" customHeight="1" thickBot="1">
      <c r="A12" s="595" t="s">
        <v>123</v>
      </c>
      <c r="B12" s="595"/>
    </row>
    <row r="13" spans="1:8" ht="19.5" customHeight="1" thickBot="1">
      <c r="A13" s="14"/>
      <c r="B13" s="85"/>
      <c r="C13" s="600" t="s">
        <v>18</v>
      </c>
      <c r="D13" s="601"/>
      <c r="E13" s="582" t="s">
        <v>109</v>
      </c>
      <c r="F13" s="583"/>
      <c r="G13" s="601" t="s">
        <v>110</v>
      </c>
      <c r="H13" s="584"/>
    </row>
    <row r="14" spans="1:8" s="10" customFormat="1" ht="19.5" customHeight="1" thickBot="1">
      <c r="A14" s="7"/>
      <c r="B14" s="7"/>
      <c r="C14" s="6" t="s">
        <v>48</v>
      </c>
      <c r="D14" s="6" t="s">
        <v>49</v>
      </c>
      <c r="E14" s="6" t="s">
        <v>48</v>
      </c>
      <c r="F14" s="15" t="s">
        <v>49</v>
      </c>
      <c r="G14" s="86" t="s">
        <v>18</v>
      </c>
      <c r="H14" s="83" t="s">
        <v>19</v>
      </c>
    </row>
    <row r="15" spans="1:8" ht="19.5" customHeight="1">
      <c r="A15" s="85"/>
      <c r="B15" s="69" t="s">
        <v>112</v>
      </c>
      <c r="C15" s="19">
        <f>SUM(C16:C17)</f>
        <v>18047</v>
      </c>
      <c r="D15" s="97">
        <f>SUM(D16:D17)</f>
        <v>17522</v>
      </c>
      <c r="E15" s="89">
        <f>SUM(E16:E17)</f>
        <v>100</v>
      </c>
      <c r="F15" s="100">
        <f>SUM(F16:F17)</f>
        <v>100</v>
      </c>
      <c r="G15" s="20">
        <f aca="true" t="shared" si="0" ref="G15:G23">D15-C15</f>
        <v>-525</v>
      </c>
      <c r="H15" s="84">
        <f>(D15/C15-1)*100</f>
        <v>-2.9090707596830523</v>
      </c>
    </row>
    <row r="16" spans="1:8" ht="19.5" customHeight="1">
      <c r="A16" s="13" t="s">
        <v>16</v>
      </c>
      <c r="B16" s="69" t="s">
        <v>96</v>
      </c>
      <c r="C16" s="19">
        <v>3052</v>
      </c>
      <c r="D16" s="98">
        <v>3059</v>
      </c>
      <c r="E16" s="90">
        <f>C16/C15*100</f>
        <v>16.911398016290796</v>
      </c>
      <c r="F16" s="100">
        <f>D16/D15*100</f>
        <v>17.458052733706197</v>
      </c>
      <c r="G16" s="20">
        <f t="shared" si="0"/>
        <v>7</v>
      </c>
      <c r="H16" s="50">
        <f aca="true" t="shared" si="1" ref="H16:H23">(D16/C16-1)*100</f>
        <v>0.2293577981651307</v>
      </c>
    </row>
    <row r="17" spans="1:8" ht="19.5" customHeight="1" thickBot="1">
      <c r="A17" s="62" t="s">
        <v>111</v>
      </c>
      <c r="B17" s="7" t="s">
        <v>97</v>
      </c>
      <c r="C17" s="24">
        <v>14995</v>
      </c>
      <c r="D17" s="99">
        <v>14463</v>
      </c>
      <c r="E17" s="91">
        <f>C17/C15*100</f>
        <v>83.0886019837092</v>
      </c>
      <c r="F17" s="101">
        <f>D17/D15*100</f>
        <v>82.5419472662938</v>
      </c>
      <c r="G17" s="25">
        <f t="shared" si="0"/>
        <v>-532</v>
      </c>
      <c r="H17" s="52">
        <f t="shared" si="1"/>
        <v>-3.547849283094362</v>
      </c>
    </row>
    <row r="18" spans="1:8" ht="19.5" customHeight="1">
      <c r="A18" s="85"/>
      <c r="B18" s="69" t="s">
        <v>113</v>
      </c>
      <c r="C18" s="19">
        <f>SUM(C19:C20)</f>
        <v>100238</v>
      </c>
      <c r="D18" s="98">
        <f>SUM(D19:D20)</f>
        <v>98727</v>
      </c>
      <c r="E18" s="89">
        <f>SUM(E19:E20)</f>
        <v>100</v>
      </c>
      <c r="F18" s="100">
        <f>SUM(F19:F20)</f>
        <v>100</v>
      </c>
      <c r="G18" s="20">
        <f t="shared" si="0"/>
        <v>-1511</v>
      </c>
      <c r="H18" s="50">
        <f t="shared" si="1"/>
        <v>-1.5074123585865684</v>
      </c>
    </row>
    <row r="19" spans="1:8" ht="19.5" customHeight="1">
      <c r="A19" s="13" t="s">
        <v>65</v>
      </c>
      <c r="B19" s="69" t="s">
        <v>96</v>
      </c>
      <c r="C19" s="19">
        <v>25115</v>
      </c>
      <c r="D19" s="98">
        <v>23263</v>
      </c>
      <c r="E19" s="90">
        <f>C19/C18*100</f>
        <v>25.055368223627767</v>
      </c>
      <c r="F19" s="100">
        <f>D19/D18*100</f>
        <v>23.562956435422933</v>
      </c>
      <c r="G19" s="20">
        <f t="shared" si="0"/>
        <v>-1852</v>
      </c>
      <c r="H19" s="50">
        <f t="shared" si="1"/>
        <v>-7.3740792355166285</v>
      </c>
    </row>
    <row r="20" spans="1:8" ht="19.5" customHeight="1" thickBot="1">
      <c r="A20" s="62" t="s">
        <v>114</v>
      </c>
      <c r="B20" s="7" t="s">
        <v>97</v>
      </c>
      <c r="C20" s="24">
        <v>75123</v>
      </c>
      <c r="D20" s="99">
        <v>75464</v>
      </c>
      <c r="E20" s="91">
        <f>C20/C18*100</f>
        <v>74.94463177637223</v>
      </c>
      <c r="F20" s="101">
        <f>D20/D18*100</f>
        <v>76.43704356457707</v>
      </c>
      <c r="G20" s="25">
        <f t="shared" si="0"/>
        <v>341</v>
      </c>
      <c r="H20" s="52">
        <f t="shared" si="1"/>
        <v>0.45392223420257505</v>
      </c>
    </row>
    <row r="21" spans="1:8" ht="19.5" customHeight="1">
      <c r="A21" s="85" t="s">
        <v>115</v>
      </c>
      <c r="B21" s="69" t="s">
        <v>113</v>
      </c>
      <c r="C21" s="19">
        <f>SUM(C22:C23)</f>
        <v>2714120</v>
      </c>
      <c r="D21" s="98">
        <f>SUM(D22:D23)</f>
        <v>2626084</v>
      </c>
      <c r="E21" s="89">
        <f>SUM(E22:E23)</f>
        <v>100</v>
      </c>
      <c r="F21" s="100">
        <f>SUM(F22:F23)</f>
        <v>100</v>
      </c>
      <c r="G21" s="20">
        <f t="shared" si="0"/>
        <v>-88036</v>
      </c>
      <c r="H21" s="50">
        <f t="shared" si="1"/>
        <v>-3.2436296110709972</v>
      </c>
    </row>
    <row r="22" spans="1:8" ht="19.5" customHeight="1">
      <c r="A22" s="13" t="s">
        <v>116</v>
      </c>
      <c r="B22" s="69" t="s">
        <v>96</v>
      </c>
      <c r="C22" s="19">
        <v>1532341</v>
      </c>
      <c r="D22" s="98">
        <v>1452874</v>
      </c>
      <c r="E22" s="90">
        <f>C22/C21*100</f>
        <v>56.45811533756798</v>
      </c>
      <c r="F22" s="100">
        <f>D22/D21*100</f>
        <v>55.324734471555374</v>
      </c>
      <c r="G22" s="20">
        <f t="shared" si="0"/>
        <v>-79467</v>
      </c>
      <c r="H22" s="50">
        <f t="shared" si="1"/>
        <v>-5.185986670068865</v>
      </c>
    </row>
    <row r="23" spans="1:8" ht="19.5" customHeight="1" thickBot="1">
      <c r="A23" s="62" t="s">
        <v>117</v>
      </c>
      <c r="B23" s="7" t="s">
        <v>97</v>
      </c>
      <c r="C23" s="24">
        <v>1181779</v>
      </c>
      <c r="D23" s="99">
        <v>1173210</v>
      </c>
      <c r="E23" s="91">
        <f>C23/C21*100</f>
        <v>43.541884662432025</v>
      </c>
      <c r="F23" s="101">
        <f>D23/D21*100</f>
        <v>44.67526552844463</v>
      </c>
      <c r="G23" s="25">
        <f t="shared" si="0"/>
        <v>-8569</v>
      </c>
      <c r="H23" s="52">
        <f t="shared" si="1"/>
        <v>-0.725093270399968</v>
      </c>
    </row>
    <row r="24" ht="19.5" customHeight="1"/>
    <row r="25" ht="19.5" customHeight="1"/>
    <row r="26" ht="19.5" customHeight="1"/>
    <row r="27" spans="1:2" ht="19.5" customHeight="1" thickBot="1">
      <c r="A27" s="164" t="s">
        <v>125</v>
      </c>
      <c r="B27" s="114"/>
    </row>
    <row r="28" spans="1:8" ht="19.5" customHeight="1">
      <c r="A28" s="5"/>
      <c r="B28" s="67"/>
      <c r="C28" s="598" t="s">
        <v>20</v>
      </c>
      <c r="D28" s="599"/>
      <c r="E28" s="598" t="s">
        <v>21</v>
      </c>
      <c r="F28" s="599"/>
      <c r="G28" s="598" t="s">
        <v>71</v>
      </c>
      <c r="H28" s="599"/>
    </row>
    <row r="29" spans="1:8" ht="19.5" customHeight="1" thickBot="1">
      <c r="A29" s="71"/>
      <c r="B29" s="72"/>
      <c r="C29" s="596"/>
      <c r="D29" s="597"/>
      <c r="E29" s="596"/>
      <c r="F29" s="597"/>
      <c r="G29" s="596" t="s">
        <v>124</v>
      </c>
      <c r="H29" s="597"/>
    </row>
    <row r="30" spans="1:8" ht="19.5" customHeight="1" thickBot="1">
      <c r="A30" s="7"/>
      <c r="B30" s="102"/>
      <c r="C30" s="8" t="s">
        <v>18</v>
      </c>
      <c r="D30" s="9" t="s">
        <v>19</v>
      </c>
      <c r="E30" s="8" t="s">
        <v>18</v>
      </c>
      <c r="F30" s="9" t="s">
        <v>19</v>
      </c>
      <c r="G30" s="8" t="s">
        <v>18</v>
      </c>
      <c r="H30" s="9" t="s">
        <v>19</v>
      </c>
    </row>
    <row r="31" spans="1:8" ht="19.5" customHeight="1">
      <c r="A31" s="589" t="s">
        <v>126</v>
      </c>
      <c r="B31" s="590"/>
      <c r="C31" s="111">
        <v>23886</v>
      </c>
      <c r="D31" s="11">
        <v>-6.4</v>
      </c>
      <c r="E31" s="111">
        <v>100090</v>
      </c>
      <c r="F31" s="11">
        <v>-4.2</v>
      </c>
      <c r="G31" s="111">
        <v>2892466</v>
      </c>
      <c r="H31" s="11">
        <v>8.6</v>
      </c>
    </row>
    <row r="32" spans="1:8" ht="19.5" customHeight="1">
      <c r="A32" s="585" t="s">
        <v>127</v>
      </c>
      <c r="B32" s="586"/>
      <c r="C32" s="112">
        <v>23874</v>
      </c>
      <c r="D32" s="12">
        <v>-0.1</v>
      </c>
      <c r="E32" s="112">
        <v>104504</v>
      </c>
      <c r="F32" s="12">
        <v>4.4</v>
      </c>
      <c r="G32" s="112">
        <v>3129621</v>
      </c>
      <c r="H32" s="12">
        <v>8.2</v>
      </c>
    </row>
    <row r="33" spans="1:8" ht="19.5" customHeight="1">
      <c r="A33" s="585" t="s">
        <v>128</v>
      </c>
      <c r="B33" s="586"/>
      <c r="C33" s="112">
        <v>23548</v>
      </c>
      <c r="D33" s="12">
        <v>-1.4</v>
      </c>
      <c r="E33" s="112">
        <v>107701</v>
      </c>
      <c r="F33" s="12">
        <v>3.1</v>
      </c>
      <c r="G33" s="112">
        <v>3489763</v>
      </c>
      <c r="H33" s="12">
        <v>11.5</v>
      </c>
    </row>
    <row r="34" spans="1:8" ht="19.5" customHeight="1">
      <c r="A34" s="585" t="s">
        <v>129</v>
      </c>
      <c r="B34" s="586"/>
      <c r="C34" s="112">
        <v>21868</v>
      </c>
      <c r="D34" s="12">
        <v>-7.1</v>
      </c>
      <c r="E34" s="112">
        <v>105840</v>
      </c>
      <c r="F34" s="12">
        <v>-1.7</v>
      </c>
      <c r="G34" s="112">
        <v>3622678</v>
      </c>
      <c r="H34" s="12">
        <v>3.8</v>
      </c>
    </row>
    <row r="35" spans="1:8" ht="19.5" customHeight="1">
      <c r="A35" s="585" t="s">
        <v>130</v>
      </c>
      <c r="B35" s="586"/>
      <c r="C35" s="112">
        <v>20493</v>
      </c>
      <c r="D35" s="12">
        <v>-6.3</v>
      </c>
      <c r="E35" s="112">
        <v>103701</v>
      </c>
      <c r="F35" s="12">
        <v>-2</v>
      </c>
      <c r="G35" s="112">
        <v>3751464</v>
      </c>
      <c r="H35" s="12">
        <v>3.6</v>
      </c>
    </row>
    <row r="36" spans="1:8" ht="19.5" customHeight="1">
      <c r="A36" s="585" t="s">
        <v>131</v>
      </c>
      <c r="B36" s="586"/>
      <c r="C36" s="112">
        <v>20346</v>
      </c>
      <c r="D36" s="12">
        <v>-7.3</v>
      </c>
      <c r="E36" s="112">
        <v>108970</v>
      </c>
      <c r="F36" s="12">
        <v>-0.6</v>
      </c>
      <c r="G36" s="112">
        <v>3528798</v>
      </c>
      <c r="H36" s="12">
        <v>-11.3</v>
      </c>
    </row>
    <row r="37" spans="1:8" ht="19.5" customHeight="1">
      <c r="A37" s="585" t="s">
        <v>132</v>
      </c>
      <c r="B37" s="586"/>
      <c r="C37" s="112">
        <v>18047</v>
      </c>
      <c r="D37" s="12">
        <v>-11.3</v>
      </c>
      <c r="E37" s="112">
        <v>100238</v>
      </c>
      <c r="F37" s="12">
        <v>-8</v>
      </c>
      <c r="G37" s="112">
        <v>2714120</v>
      </c>
      <c r="H37" s="12">
        <v>-23.1</v>
      </c>
    </row>
    <row r="38" spans="1:8" ht="19.5" customHeight="1" thickBot="1">
      <c r="A38" s="587" t="s">
        <v>133</v>
      </c>
      <c r="B38" s="588"/>
      <c r="C38" s="113">
        <v>17522</v>
      </c>
      <c r="D38" s="110">
        <f>(C38/C37-1)*100</f>
        <v>-2.9090707596830523</v>
      </c>
      <c r="E38" s="113">
        <v>98727</v>
      </c>
      <c r="F38" s="110">
        <f>(E38/E37-1)*100</f>
        <v>-1.5074123585865684</v>
      </c>
      <c r="G38" s="113">
        <v>2626083</v>
      </c>
      <c r="H38" s="110">
        <v>-3.2</v>
      </c>
    </row>
  </sheetData>
  <mergeCells count="23">
    <mergeCell ref="A37:B37"/>
    <mergeCell ref="A38:B38"/>
    <mergeCell ref="A31:B31"/>
    <mergeCell ref="A32:B32"/>
    <mergeCell ref="A33:B33"/>
    <mergeCell ref="A34:B34"/>
    <mergeCell ref="A35:B35"/>
    <mergeCell ref="A36:B36"/>
    <mergeCell ref="A12:B12"/>
    <mergeCell ref="G29:H29"/>
    <mergeCell ref="G28:H28"/>
    <mergeCell ref="A11:H11"/>
    <mergeCell ref="C13:D13"/>
    <mergeCell ref="E13:F13"/>
    <mergeCell ref="G13:H13"/>
    <mergeCell ref="C28:D29"/>
    <mergeCell ref="E28:F29"/>
    <mergeCell ref="A8:H8"/>
    <mergeCell ref="A10:H10"/>
    <mergeCell ref="A1:H1"/>
    <mergeCell ref="A5:H5"/>
    <mergeCell ref="A6:H6"/>
    <mergeCell ref="A7:H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2">
    <tabColor indexed="46"/>
  </sheetPr>
  <dimension ref="A1:O59"/>
  <sheetViews>
    <sheetView zoomScale="75" zoomScaleNormal="75" workbookViewId="0" topLeftCell="D1">
      <selection activeCell="D17" sqref="D17:D23"/>
    </sheetView>
  </sheetViews>
  <sheetFormatPr defaultColWidth="9.00390625" defaultRowHeight="13.5"/>
  <cols>
    <col min="1" max="3" width="10.625" style="0" hidden="1" customWidth="1"/>
    <col min="4" max="5" width="9.75390625" style="0" customWidth="1"/>
    <col min="6" max="7" width="11.125" style="0" customWidth="1"/>
    <col min="8" max="8" width="10.625" style="0" customWidth="1"/>
    <col min="9" max="10" width="9.75390625" style="0" customWidth="1"/>
    <col min="11" max="12" width="11.125" style="0" customWidth="1"/>
    <col min="13" max="13" width="10.625" style="0" customWidth="1"/>
    <col min="14" max="15" width="9.875" style="0" customWidth="1"/>
  </cols>
  <sheetData>
    <row r="1" ht="21">
      <c r="D1" s="263" t="s">
        <v>214</v>
      </c>
    </row>
    <row r="2" ht="18.75">
      <c r="D2" s="262" t="s">
        <v>227</v>
      </c>
    </row>
    <row r="3" spans="1:5" ht="18.75">
      <c r="A3" s="254"/>
      <c r="B3" s="104"/>
      <c r="C3" s="255"/>
      <c r="D3" s="474" t="s">
        <v>228</v>
      </c>
      <c r="E3" s="1"/>
    </row>
    <row r="4" spans="4:5" ht="24">
      <c r="D4" s="474" t="s">
        <v>229</v>
      </c>
      <c r="E4" s="266"/>
    </row>
    <row r="5" spans="1:5" ht="18.75">
      <c r="A5" s="259"/>
      <c r="B5" s="119"/>
      <c r="C5" s="256"/>
      <c r="D5" s="474" t="s">
        <v>407</v>
      </c>
      <c r="E5" s="1"/>
    </row>
    <row r="6" spans="1:5" ht="18.75">
      <c r="A6" s="154"/>
      <c r="B6" s="1"/>
      <c r="C6" s="1"/>
      <c r="D6" s="474" t="s">
        <v>230</v>
      </c>
      <c r="E6" s="1"/>
    </row>
    <row r="7" ht="18.75" customHeight="1">
      <c r="D7" s="474" t="s">
        <v>408</v>
      </c>
    </row>
    <row r="8" s="264" customFormat="1" ht="18.75" customHeight="1">
      <c r="D8" s="260"/>
    </row>
    <row r="9" s="260" customFormat="1" ht="18.75" customHeight="1">
      <c r="D9" s="262" t="s">
        <v>232</v>
      </c>
    </row>
    <row r="10" s="260" customFormat="1" ht="18.75" customHeight="1">
      <c r="D10" s="474" t="s">
        <v>233</v>
      </c>
    </row>
    <row r="11" s="260" customFormat="1" ht="18.75" customHeight="1">
      <c r="D11" s="474" t="s">
        <v>234</v>
      </c>
    </row>
    <row r="12" s="260" customFormat="1" ht="18.75" customHeight="1">
      <c r="D12" s="474" t="s">
        <v>409</v>
      </c>
    </row>
    <row r="13" s="260" customFormat="1" ht="18.75" customHeight="1">
      <c r="D13" s="474" t="s">
        <v>235</v>
      </c>
    </row>
    <row r="14" s="260" customFormat="1" ht="18.75" customHeight="1">
      <c r="D14" s="260" t="s">
        <v>236</v>
      </c>
    </row>
    <row r="15" s="264" customFormat="1" ht="18.75" customHeight="1"/>
    <row r="16" s="260" customFormat="1" ht="18.75" customHeight="1">
      <c r="D16" s="262" t="s">
        <v>237</v>
      </c>
    </row>
    <row r="17" s="260" customFormat="1" ht="18.75" customHeight="1">
      <c r="D17" s="474" t="s">
        <v>241</v>
      </c>
    </row>
    <row r="18" s="260" customFormat="1" ht="18.75" customHeight="1">
      <c r="D18" s="474" t="s">
        <v>242</v>
      </c>
    </row>
    <row r="19" s="260" customFormat="1" ht="18.75" customHeight="1">
      <c r="D19" s="474" t="s">
        <v>410</v>
      </c>
    </row>
    <row r="20" s="260" customFormat="1" ht="18.75">
      <c r="D20" s="474" t="s">
        <v>238</v>
      </c>
    </row>
    <row r="21" s="96" customFormat="1" ht="18" customHeight="1" thickBot="1">
      <c r="D21" s="474" t="s">
        <v>239</v>
      </c>
    </row>
    <row r="22" spans="2:4" s="96" customFormat="1" ht="18" customHeight="1" thickBot="1">
      <c r="B22" s="616" t="s">
        <v>231</v>
      </c>
      <c r="C22" s="617"/>
      <c r="D22" s="474" t="s">
        <v>240</v>
      </c>
    </row>
    <row r="23" spans="1:4" s="96" customFormat="1" ht="18" customHeight="1" thickBot="1">
      <c r="A23" s="271" t="s">
        <v>49</v>
      </c>
      <c r="B23" s="258" t="s">
        <v>48</v>
      </c>
      <c r="C23" s="271" t="s">
        <v>49</v>
      </c>
      <c r="D23" s="474" t="s">
        <v>411</v>
      </c>
    </row>
    <row r="24" spans="1:4" s="96" customFormat="1" ht="18" customHeight="1">
      <c r="A24" s="279" t="s">
        <v>346</v>
      </c>
      <c r="B24" s="275" t="s">
        <v>345</v>
      </c>
      <c r="C24" s="276" t="s">
        <v>345</v>
      </c>
      <c r="D24" s="260"/>
    </row>
    <row r="25" spans="1:4" s="316" customFormat="1" ht="18" customHeight="1">
      <c r="A25" s="321">
        <v>100</v>
      </c>
      <c r="B25" s="317">
        <v>125</v>
      </c>
      <c r="C25" s="318">
        <v>107</v>
      </c>
      <c r="D25" s="204"/>
    </row>
    <row r="26" spans="1:3" s="199" customFormat="1" ht="18" customHeight="1">
      <c r="A26" s="284"/>
      <c r="B26" s="281"/>
      <c r="C26" s="115"/>
    </row>
    <row r="27" spans="1:3" s="199" customFormat="1" ht="18" customHeight="1">
      <c r="A27" s="284" t="e">
        <f>#REF!/1552928*100</f>
        <v>#REF!</v>
      </c>
      <c r="B27" s="281">
        <v>3716</v>
      </c>
      <c r="C27" s="253">
        <v>3250</v>
      </c>
    </row>
    <row r="28" spans="1:3" s="199" customFormat="1" ht="18" customHeight="1">
      <c r="A28" s="284" t="e">
        <f>#REF!/1552928*100</f>
        <v>#REF!</v>
      </c>
      <c r="B28" s="281">
        <v>134</v>
      </c>
      <c r="C28" s="253">
        <v>123</v>
      </c>
    </row>
    <row r="29" spans="1:3" s="199" customFormat="1" ht="18" customHeight="1">
      <c r="A29" s="284" t="e">
        <f>#REF!/1552928*100</f>
        <v>#REF!</v>
      </c>
      <c r="B29" s="281">
        <v>92</v>
      </c>
      <c r="C29" s="253">
        <v>89</v>
      </c>
    </row>
    <row r="30" spans="1:3" s="199" customFormat="1" ht="18" customHeight="1">
      <c r="A30" s="284" t="e">
        <f>#REF!/1552928*100</f>
        <v>#REF!</v>
      </c>
      <c r="B30" s="281">
        <v>89</v>
      </c>
      <c r="C30" s="253">
        <v>34</v>
      </c>
    </row>
    <row r="31" spans="1:3" s="199" customFormat="1" ht="18" customHeight="1">
      <c r="A31" s="284" t="e">
        <f>#REF!/1552928*100</f>
        <v>#REF!</v>
      </c>
      <c r="B31" s="281">
        <v>162</v>
      </c>
      <c r="C31" s="253">
        <v>150</v>
      </c>
    </row>
    <row r="32" spans="1:3" s="199" customFormat="1" ht="18" customHeight="1">
      <c r="A32" s="284" t="e">
        <f>#REF!/1552928*100</f>
        <v>#REF!</v>
      </c>
      <c r="B32" s="281">
        <v>110</v>
      </c>
      <c r="C32" s="253">
        <v>88</v>
      </c>
    </row>
    <row r="33" spans="1:3" s="22" customFormat="1" ht="18" customHeight="1" thickBot="1">
      <c r="A33" s="37"/>
      <c r="B33" s="24"/>
      <c r="C33" s="26"/>
    </row>
    <row r="34" ht="18" customHeight="1"/>
    <row r="35" ht="18" customHeight="1"/>
    <row r="36" ht="18" customHeight="1"/>
    <row r="37" s="96" customFormat="1" ht="18" customHeight="1" thickBot="1"/>
    <row r="38" spans="1:15" s="96" customFormat="1" ht="18" customHeight="1" thickBot="1">
      <c r="A38" s="620" t="s">
        <v>65</v>
      </c>
      <c r="B38" s="620"/>
      <c r="C38" s="620"/>
      <c r="D38" s="620"/>
      <c r="E38" s="615"/>
      <c r="F38" s="614" t="s">
        <v>71</v>
      </c>
      <c r="G38" s="620"/>
      <c r="H38" s="620"/>
      <c r="I38" s="620"/>
      <c r="J38" s="615"/>
      <c r="K38" s="614" t="s">
        <v>74</v>
      </c>
      <c r="L38" s="620"/>
      <c r="M38" s="620"/>
      <c r="N38" s="620"/>
      <c r="O38" s="615"/>
    </row>
    <row r="39" spans="1:15" s="96" customFormat="1" ht="18" customHeight="1" thickBot="1">
      <c r="A39" s="620" t="s">
        <v>18</v>
      </c>
      <c r="B39" s="620"/>
      <c r="C39" s="272" t="s">
        <v>59</v>
      </c>
      <c r="D39" s="621" t="s">
        <v>31</v>
      </c>
      <c r="E39" s="622"/>
      <c r="F39" s="614" t="s">
        <v>18</v>
      </c>
      <c r="G39" s="615"/>
      <c r="H39" s="272" t="s">
        <v>59</v>
      </c>
      <c r="I39" s="621" t="s">
        <v>31</v>
      </c>
      <c r="J39" s="622"/>
      <c r="K39" s="614" t="s">
        <v>18</v>
      </c>
      <c r="L39" s="620"/>
      <c r="M39" s="272" t="s">
        <v>59</v>
      </c>
      <c r="N39" s="621" t="s">
        <v>31</v>
      </c>
      <c r="O39" s="622"/>
    </row>
    <row r="40" spans="1:15" s="96" customFormat="1" ht="18" customHeight="1" thickBot="1">
      <c r="A40" s="288" t="s">
        <v>48</v>
      </c>
      <c r="B40" s="272" t="s">
        <v>49</v>
      </c>
      <c r="C40" s="272" t="s">
        <v>243</v>
      </c>
      <c r="D40" s="288" t="s">
        <v>48</v>
      </c>
      <c r="E40" s="272" t="s">
        <v>49</v>
      </c>
      <c r="F40" s="288" t="s">
        <v>48</v>
      </c>
      <c r="G40" s="272" t="s">
        <v>49</v>
      </c>
      <c r="H40" s="272" t="s">
        <v>243</v>
      </c>
      <c r="I40" s="288" t="s">
        <v>48</v>
      </c>
      <c r="J40" s="272" t="s">
        <v>49</v>
      </c>
      <c r="K40" s="288" t="s">
        <v>48</v>
      </c>
      <c r="L40" s="272" t="s">
        <v>49</v>
      </c>
      <c r="M40" s="272" t="s">
        <v>243</v>
      </c>
      <c r="N40" s="288" t="s">
        <v>48</v>
      </c>
      <c r="O40" s="272" t="s">
        <v>49</v>
      </c>
    </row>
    <row r="41" spans="1:15" s="132" customFormat="1" ht="18" customHeight="1">
      <c r="A41" s="244" t="s">
        <v>60</v>
      </c>
      <c r="B41" s="245" t="s">
        <v>60</v>
      </c>
      <c r="C41" s="246" t="s">
        <v>347</v>
      </c>
      <c r="D41" s="325" t="s">
        <v>163</v>
      </c>
      <c r="E41" s="326" t="s">
        <v>163</v>
      </c>
      <c r="F41" s="322" t="s">
        <v>72</v>
      </c>
      <c r="G41" s="323" t="s">
        <v>72</v>
      </c>
      <c r="H41" s="324" t="s">
        <v>191</v>
      </c>
      <c r="I41" s="325" t="s">
        <v>191</v>
      </c>
      <c r="J41" s="326" t="s">
        <v>191</v>
      </c>
      <c r="K41" s="322" t="s">
        <v>218</v>
      </c>
      <c r="L41" s="323" t="s">
        <v>218</v>
      </c>
      <c r="M41" s="324" t="s">
        <v>191</v>
      </c>
      <c r="N41" s="325" t="s">
        <v>191</v>
      </c>
      <c r="O41" s="326" t="s">
        <v>191</v>
      </c>
    </row>
    <row r="42" spans="1:15" s="316" customFormat="1" ht="18" customHeight="1">
      <c r="A42" s="317">
        <v>75123</v>
      </c>
      <c r="B42" s="334">
        <v>75464</v>
      </c>
      <c r="C42" s="319">
        <f>(B42/A42-1)*100</f>
        <v>0.45392223420257505</v>
      </c>
      <c r="D42" s="335" t="s">
        <v>219</v>
      </c>
      <c r="E42" s="336" t="s">
        <v>219</v>
      </c>
      <c r="F42" s="317">
        <v>1181779</v>
      </c>
      <c r="G42" s="334">
        <v>1173210</v>
      </c>
      <c r="H42" s="319">
        <f>(G42/F42-1)*100</f>
        <v>-0.725093270399968</v>
      </c>
      <c r="I42" s="335" t="s">
        <v>219</v>
      </c>
      <c r="J42" s="336" t="s">
        <v>219</v>
      </c>
      <c r="K42" s="317">
        <v>1566034</v>
      </c>
      <c r="L42" s="334">
        <v>1552928</v>
      </c>
      <c r="M42" s="319">
        <f>(L42/K42-1)*100</f>
        <v>-0.8368911530656442</v>
      </c>
      <c r="N42" s="335" t="s">
        <v>219</v>
      </c>
      <c r="O42" s="336" t="s">
        <v>219</v>
      </c>
    </row>
    <row r="43" spans="1:15" s="199" customFormat="1" ht="18" customHeight="1">
      <c r="A43" s="328"/>
      <c r="B43" s="329"/>
      <c r="C43" s="330"/>
      <c r="D43" s="331"/>
      <c r="E43" s="332"/>
      <c r="F43" s="328"/>
      <c r="G43" s="329"/>
      <c r="H43" s="330"/>
      <c r="I43" s="331"/>
      <c r="J43" s="332"/>
      <c r="K43" s="328"/>
      <c r="L43" s="329"/>
      <c r="M43" s="330"/>
      <c r="N43" s="331"/>
      <c r="O43" s="332"/>
    </row>
    <row r="44" spans="1:15" s="316" customFormat="1" ht="18" customHeight="1">
      <c r="A44" s="317">
        <v>57336</v>
      </c>
      <c r="B44" s="337">
        <f>SUM(B46:B57)</f>
        <v>57239</v>
      </c>
      <c r="C44" s="319">
        <f>(B44/A44-1)*100</f>
        <v>-0.1691781777591772</v>
      </c>
      <c r="D44" s="335"/>
      <c r="E44" s="336"/>
      <c r="F44" s="317">
        <f>SUM(F46:F57)</f>
        <v>881892</v>
      </c>
      <c r="G44" s="337">
        <f>SUM(G46:G57)</f>
        <v>857251</v>
      </c>
      <c r="H44" s="319">
        <f>(G44/F44-1)*100</f>
        <v>-2.794106307801858</v>
      </c>
      <c r="I44" s="335" t="s">
        <v>220</v>
      </c>
      <c r="J44" s="336" t="s">
        <v>220</v>
      </c>
      <c r="K44" s="317">
        <f>SUM(K46:K57)</f>
        <v>1566034</v>
      </c>
      <c r="L44" s="337">
        <f>SUM(L46:L57)</f>
        <v>1552928</v>
      </c>
      <c r="M44" s="319">
        <f>(L44/K44-1)*100</f>
        <v>-0.8368911530656442</v>
      </c>
      <c r="N44" s="335"/>
      <c r="O44" s="336"/>
    </row>
    <row r="45" spans="1:15" s="199" customFormat="1" ht="18" customHeight="1">
      <c r="A45" s="281"/>
      <c r="B45" s="291"/>
      <c r="C45" s="282"/>
      <c r="D45" s="292"/>
      <c r="E45" s="293"/>
      <c r="F45" s="281"/>
      <c r="G45" s="291"/>
      <c r="H45" s="282"/>
      <c r="I45" s="292"/>
      <c r="J45" s="293"/>
      <c r="K45" s="281"/>
      <c r="L45" s="291"/>
      <c r="M45" s="282"/>
      <c r="N45" s="292"/>
      <c r="O45" s="293"/>
    </row>
    <row r="46" spans="1:15" s="299" customFormat="1" ht="18" customHeight="1">
      <c r="A46" s="295">
        <v>1144</v>
      </c>
      <c r="B46" s="291">
        <v>1034</v>
      </c>
      <c r="C46" s="296">
        <f aca="true" t="shared" si="0" ref="C46:C57">(B46/A46-1)*100</f>
        <v>-9.615384615384615</v>
      </c>
      <c r="D46" s="297">
        <f>A46/57336*100</f>
        <v>1.9952560346030417</v>
      </c>
      <c r="E46" s="298">
        <f>B46/57239*100</f>
        <v>1.8064606299900416</v>
      </c>
      <c r="F46" s="295">
        <v>5240</v>
      </c>
      <c r="G46" s="291">
        <v>4917</v>
      </c>
      <c r="H46" s="296">
        <f aca="true" t="shared" si="1" ref="H46:H57">(G46/F46-1)*100</f>
        <v>-6.164122137404582</v>
      </c>
      <c r="I46" s="297">
        <f aca="true" t="shared" si="2" ref="I46:I57">F46/881892*100</f>
        <v>0.5941770647653001</v>
      </c>
      <c r="J46" s="298">
        <f aca="true" t="shared" si="3" ref="J46:J57">G46/857251*100</f>
        <v>0.5735776336218914</v>
      </c>
      <c r="K46" s="295">
        <v>3360</v>
      </c>
      <c r="L46" s="291">
        <v>3150</v>
      </c>
      <c r="M46" s="296">
        <f aca="true" t="shared" si="4" ref="M46:M57">(L46/K46-1)*100</f>
        <v>-6.25</v>
      </c>
      <c r="N46" s="297">
        <f aca="true" t="shared" si="5" ref="N46:N57">K46/1566034*100</f>
        <v>0.21455472869682268</v>
      </c>
      <c r="O46" s="298">
        <f aca="true" t="shared" si="6" ref="O46:O57">L46/1552928*100</f>
        <v>0.20284263017989243</v>
      </c>
    </row>
    <row r="47" spans="1:15" s="299" customFormat="1" ht="18" customHeight="1">
      <c r="A47" s="295">
        <v>3729</v>
      </c>
      <c r="B47" s="291">
        <v>3569</v>
      </c>
      <c r="C47" s="296">
        <f t="shared" si="0"/>
        <v>-4.290694556181284</v>
      </c>
      <c r="D47" s="297">
        <f aca="true" t="shared" si="7" ref="D47:D57">A47/57336*100</f>
        <v>6.503767266638762</v>
      </c>
      <c r="E47" s="298">
        <f aca="true" t="shared" si="8" ref="E47:E57">B47/57239*100</f>
        <v>6.2352591764356475</v>
      </c>
      <c r="F47" s="295">
        <v>26850</v>
      </c>
      <c r="G47" s="291">
        <v>24043</v>
      </c>
      <c r="H47" s="296">
        <f t="shared" si="1"/>
        <v>-10.45437616387337</v>
      </c>
      <c r="I47" s="297">
        <f t="shared" si="2"/>
        <v>3.044590494074104</v>
      </c>
      <c r="J47" s="298">
        <f t="shared" si="3"/>
        <v>2.804662811708589</v>
      </c>
      <c r="K47" s="295">
        <v>22622</v>
      </c>
      <c r="L47" s="291">
        <v>22544</v>
      </c>
      <c r="M47" s="296">
        <f t="shared" si="4"/>
        <v>-0.3447971001679817</v>
      </c>
      <c r="N47" s="297">
        <f t="shared" si="5"/>
        <v>1.4445407954105722</v>
      </c>
      <c r="O47" s="298">
        <f t="shared" si="6"/>
        <v>1.451709287230316</v>
      </c>
    </row>
    <row r="48" spans="1:15" s="299" customFormat="1" ht="18" customHeight="1">
      <c r="A48" s="295">
        <v>3916</v>
      </c>
      <c r="B48" s="291">
        <v>3683</v>
      </c>
      <c r="C48" s="296">
        <f t="shared" si="0"/>
        <v>-5.949948927477022</v>
      </c>
      <c r="D48" s="297">
        <f t="shared" si="7"/>
        <v>6.829914887679643</v>
      </c>
      <c r="E48" s="298">
        <f t="shared" si="8"/>
        <v>6.434424081482905</v>
      </c>
      <c r="F48" s="295">
        <v>33153</v>
      </c>
      <c r="G48" s="291">
        <v>28894</v>
      </c>
      <c r="H48" s="296">
        <f t="shared" si="1"/>
        <v>-12.84649956263385</v>
      </c>
      <c r="I48" s="297">
        <f t="shared" si="2"/>
        <v>3.75930386033664</v>
      </c>
      <c r="J48" s="298">
        <f t="shared" si="3"/>
        <v>3.3705414166912604</v>
      </c>
      <c r="K48" s="295">
        <v>40998</v>
      </c>
      <c r="L48" s="291">
        <v>38730</v>
      </c>
      <c r="M48" s="296">
        <f t="shared" si="4"/>
        <v>-5.531977169618029</v>
      </c>
      <c r="N48" s="297">
        <f t="shared" si="5"/>
        <v>2.617950823545338</v>
      </c>
      <c r="O48" s="298">
        <f t="shared" si="6"/>
        <v>2.493998433926106</v>
      </c>
    </row>
    <row r="49" spans="1:15" s="300" customFormat="1" ht="18" customHeight="1">
      <c r="A49" s="295">
        <v>7857</v>
      </c>
      <c r="B49" s="291">
        <v>7812</v>
      </c>
      <c r="C49" s="296">
        <f t="shared" si="0"/>
        <v>-0.572737686139746</v>
      </c>
      <c r="D49" s="297">
        <f t="shared" si="7"/>
        <v>13.703432398493092</v>
      </c>
      <c r="E49" s="298">
        <f t="shared" si="8"/>
        <v>13.648037177448943</v>
      </c>
      <c r="F49" s="295">
        <v>74661</v>
      </c>
      <c r="G49" s="291">
        <v>76461</v>
      </c>
      <c r="H49" s="296">
        <f t="shared" si="1"/>
        <v>2.41089725559529</v>
      </c>
      <c r="I49" s="297">
        <f t="shared" si="2"/>
        <v>8.46600263977902</v>
      </c>
      <c r="J49" s="298">
        <f t="shared" si="3"/>
        <v>8.919324678536391</v>
      </c>
      <c r="K49" s="295">
        <v>113121</v>
      </c>
      <c r="L49" s="291">
        <v>108935</v>
      </c>
      <c r="M49" s="296">
        <f t="shared" si="4"/>
        <v>-3.7004623367898115</v>
      </c>
      <c r="N49" s="297">
        <f t="shared" si="5"/>
        <v>7.223406388367047</v>
      </c>
      <c r="O49" s="298">
        <f t="shared" si="6"/>
        <v>7.014813307506852</v>
      </c>
    </row>
    <row r="50" spans="1:15" s="280" customFormat="1" ht="18" customHeight="1">
      <c r="A50" s="281">
        <v>11041</v>
      </c>
      <c r="B50" s="291">
        <v>10808</v>
      </c>
      <c r="C50" s="282">
        <f t="shared" si="0"/>
        <v>-2.1103160945566524</v>
      </c>
      <c r="D50" s="297">
        <f t="shared" si="7"/>
        <v>19.256662480814846</v>
      </c>
      <c r="E50" s="298">
        <f t="shared" si="8"/>
        <v>18.88223064693653</v>
      </c>
      <c r="F50" s="295">
        <v>133915</v>
      </c>
      <c r="G50" s="291">
        <v>126594</v>
      </c>
      <c r="H50" s="282">
        <f t="shared" si="1"/>
        <v>-5.466900645932116</v>
      </c>
      <c r="I50" s="292">
        <f t="shared" si="2"/>
        <v>15.184965959550603</v>
      </c>
      <c r="J50" s="298">
        <f t="shared" si="3"/>
        <v>14.767436841718471</v>
      </c>
      <c r="K50" s="281">
        <v>212176</v>
      </c>
      <c r="L50" s="291">
        <v>199571</v>
      </c>
      <c r="M50" s="282">
        <f t="shared" si="4"/>
        <v>-5.940822713219218</v>
      </c>
      <c r="N50" s="292">
        <f t="shared" si="5"/>
        <v>13.548620272612217</v>
      </c>
      <c r="O50" s="293">
        <f t="shared" si="6"/>
        <v>12.851271919882956</v>
      </c>
    </row>
    <row r="51" spans="1:15" s="280" customFormat="1" ht="18" customHeight="1">
      <c r="A51" s="281">
        <v>9209</v>
      </c>
      <c r="B51" s="291">
        <v>9098</v>
      </c>
      <c r="C51" s="282">
        <f t="shared" si="0"/>
        <v>-1.2053425996307987</v>
      </c>
      <c r="D51" s="297">
        <f t="shared" si="7"/>
        <v>16.061462257569413</v>
      </c>
      <c r="E51" s="298">
        <f t="shared" si="8"/>
        <v>15.894757071227659</v>
      </c>
      <c r="F51" s="295">
        <v>143567</v>
      </c>
      <c r="G51" s="291">
        <v>131690</v>
      </c>
      <c r="H51" s="282">
        <f t="shared" si="1"/>
        <v>-8.272792494096837</v>
      </c>
      <c r="I51" s="292">
        <f t="shared" si="2"/>
        <v>16.279431041442717</v>
      </c>
      <c r="J51" s="298">
        <f t="shared" si="3"/>
        <v>15.361895174225518</v>
      </c>
      <c r="K51" s="281">
        <v>217465</v>
      </c>
      <c r="L51" s="291">
        <v>215400</v>
      </c>
      <c r="M51" s="282">
        <f t="shared" si="4"/>
        <v>-0.9495780930264597</v>
      </c>
      <c r="N51" s="292">
        <f t="shared" si="5"/>
        <v>13.886352403587662</v>
      </c>
      <c r="O51" s="293">
        <f t="shared" si="6"/>
        <v>13.87057223515836</v>
      </c>
    </row>
    <row r="52" spans="1:15" s="280" customFormat="1" ht="18" customHeight="1">
      <c r="A52" s="281">
        <v>4490</v>
      </c>
      <c r="B52" s="291">
        <v>3800</v>
      </c>
      <c r="C52" s="282">
        <f t="shared" si="0"/>
        <v>-15.367483296213813</v>
      </c>
      <c r="D52" s="297">
        <f t="shared" si="7"/>
        <v>7.831031114831869</v>
      </c>
      <c r="E52" s="298">
        <f t="shared" si="8"/>
        <v>6.638830168241933</v>
      </c>
      <c r="F52" s="295">
        <v>86151</v>
      </c>
      <c r="G52" s="291">
        <v>77314</v>
      </c>
      <c r="H52" s="282">
        <f t="shared" si="1"/>
        <v>-10.257571009042266</v>
      </c>
      <c r="I52" s="292">
        <f t="shared" si="2"/>
        <v>9.768883264617436</v>
      </c>
      <c r="J52" s="298">
        <f t="shared" si="3"/>
        <v>9.018828791100857</v>
      </c>
      <c r="K52" s="281">
        <v>179159</v>
      </c>
      <c r="L52" s="291">
        <v>152632</v>
      </c>
      <c r="M52" s="282">
        <f t="shared" si="4"/>
        <v>-14.806401018090076</v>
      </c>
      <c r="N52" s="292">
        <f t="shared" si="5"/>
        <v>11.44030078529585</v>
      </c>
      <c r="O52" s="293">
        <f t="shared" si="6"/>
        <v>9.828659152259474</v>
      </c>
    </row>
    <row r="53" spans="1:15" s="280" customFormat="1" ht="18" customHeight="1">
      <c r="A53" s="281">
        <v>4000</v>
      </c>
      <c r="B53" s="291">
        <v>4531</v>
      </c>
      <c r="C53" s="282">
        <f t="shared" si="0"/>
        <v>13.274999999999991</v>
      </c>
      <c r="D53" s="297">
        <f t="shared" si="7"/>
        <v>6.976419701409236</v>
      </c>
      <c r="E53" s="298">
        <f t="shared" si="8"/>
        <v>7.915931445343211</v>
      </c>
      <c r="F53" s="295">
        <v>98224</v>
      </c>
      <c r="G53" s="291">
        <v>93726</v>
      </c>
      <c r="H53" s="282">
        <f t="shared" si="1"/>
        <v>-4.579328880925237</v>
      </c>
      <c r="I53" s="292">
        <f t="shared" si="2"/>
        <v>11.137871757539472</v>
      </c>
      <c r="J53" s="298">
        <f t="shared" si="3"/>
        <v>10.9333205793869</v>
      </c>
      <c r="K53" s="281">
        <v>196403</v>
      </c>
      <c r="L53" s="291">
        <v>200519</v>
      </c>
      <c r="M53" s="282">
        <f t="shared" si="4"/>
        <v>2.095691002683253</v>
      </c>
      <c r="N53" s="292">
        <f t="shared" si="5"/>
        <v>12.54142630364347</v>
      </c>
      <c r="O53" s="293">
        <f t="shared" si="6"/>
        <v>12.912317892394237</v>
      </c>
    </row>
    <row r="54" spans="1:15" s="280" customFormat="1" ht="18" customHeight="1">
      <c r="A54" s="281">
        <v>2494</v>
      </c>
      <c r="B54" s="291">
        <v>2717</v>
      </c>
      <c r="C54" s="282">
        <f t="shared" si="0"/>
        <v>8.941459502806737</v>
      </c>
      <c r="D54" s="297">
        <f t="shared" si="7"/>
        <v>4.349797683828659</v>
      </c>
      <c r="E54" s="298">
        <f t="shared" si="8"/>
        <v>4.746763570292982</v>
      </c>
      <c r="F54" s="281">
        <v>58058</v>
      </c>
      <c r="G54" s="291">
        <v>67764</v>
      </c>
      <c r="H54" s="282">
        <f t="shared" si="1"/>
        <v>16.71776499362707</v>
      </c>
      <c r="I54" s="292">
        <f t="shared" si="2"/>
        <v>6.58334580651599</v>
      </c>
      <c r="J54" s="298">
        <f t="shared" si="3"/>
        <v>7.904802677395535</v>
      </c>
      <c r="K54" s="281">
        <v>103488</v>
      </c>
      <c r="L54" s="291">
        <v>107524</v>
      </c>
      <c r="M54" s="282">
        <f t="shared" si="4"/>
        <v>3.8999690785405106</v>
      </c>
      <c r="N54" s="292">
        <f t="shared" si="5"/>
        <v>6.608285643862138</v>
      </c>
      <c r="O54" s="293">
        <f t="shared" si="6"/>
        <v>6.923952688083414</v>
      </c>
    </row>
    <row r="55" spans="1:15" s="280" customFormat="1" ht="18" customHeight="1">
      <c r="A55" s="281">
        <v>3432</v>
      </c>
      <c r="B55" s="291">
        <v>3859</v>
      </c>
      <c r="C55" s="282">
        <f t="shared" si="0"/>
        <v>12.441724941724953</v>
      </c>
      <c r="D55" s="297">
        <f t="shared" si="7"/>
        <v>5.985768103809125</v>
      </c>
      <c r="E55" s="298">
        <f t="shared" si="8"/>
        <v>6.7419067419067416</v>
      </c>
      <c r="F55" s="281">
        <v>80202</v>
      </c>
      <c r="G55" s="291">
        <v>86972</v>
      </c>
      <c r="H55" s="282">
        <f t="shared" si="1"/>
        <v>8.44118600533652</v>
      </c>
      <c r="I55" s="292">
        <f t="shared" si="2"/>
        <v>9.094310867997441</v>
      </c>
      <c r="J55" s="298">
        <f t="shared" si="3"/>
        <v>10.145453315306717</v>
      </c>
      <c r="K55" s="281">
        <v>165307</v>
      </c>
      <c r="L55" s="291">
        <v>167510</v>
      </c>
      <c r="M55" s="282">
        <f t="shared" si="4"/>
        <v>1.3326719376674845</v>
      </c>
      <c r="N55" s="292">
        <f t="shared" si="5"/>
        <v>10.555773374013592</v>
      </c>
      <c r="O55" s="293">
        <f t="shared" si="6"/>
        <v>10.78672031156628</v>
      </c>
    </row>
    <row r="56" spans="1:15" s="289" customFormat="1" ht="18" customHeight="1">
      <c r="A56" s="281">
        <v>1626</v>
      </c>
      <c r="B56" s="291">
        <v>1425</v>
      </c>
      <c r="C56" s="282">
        <f t="shared" si="0"/>
        <v>-12.361623616236162</v>
      </c>
      <c r="D56" s="297">
        <f t="shared" si="7"/>
        <v>2.8359146086228546</v>
      </c>
      <c r="E56" s="298">
        <f t="shared" si="8"/>
        <v>2.4895613130907246</v>
      </c>
      <c r="F56" s="281">
        <v>39083</v>
      </c>
      <c r="G56" s="291">
        <v>38057</v>
      </c>
      <c r="H56" s="282">
        <f t="shared" si="1"/>
        <v>-2.6251823043266898</v>
      </c>
      <c r="I56" s="292">
        <f t="shared" si="2"/>
        <v>4.431721798134012</v>
      </c>
      <c r="J56" s="298">
        <f t="shared" si="3"/>
        <v>4.439423226102973</v>
      </c>
      <c r="K56" s="281">
        <v>98717</v>
      </c>
      <c r="L56" s="291">
        <v>104226</v>
      </c>
      <c r="M56" s="282">
        <f t="shared" si="4"/>
        <v>5.580599086276927</v>
      </c>
      <c r="N56" s="292">
        <f t="shared" si="5"/>
        <v>6.303630700227454</v>
      </c>
      <c r="O56" s="293">
        <f t="shared" si="6"/>
        <v>6.7115796740093545</v>
      </c>
    </row>
    <row r="57" spans="1:15" s="199" customFormat="1" ht="18" customHeight="1">
      <c r="A57" s="281">
        <v>4398</v>
      </c>
      <c r="B57" s="291">
        <v>4903</v>
      </c>
      <c r="C57" s="282">
        <f t="shared" si="0"/>
        <v>11.482492041837201</v>
      </c>
      <c r="D57" s="297">
        <f t="shared" si="7"/>
        <v>7.6705734616994565</v>
      </c>
      <c r="E57" s="298">
        <f t="shared" si="8"/>
        <v>8.565837977602683</v>
      </c>
      <c r="F57" s="281">
        <v>102788</v>
      </c>
      <c r="G57" s="291">
        <v>100819</v>
      </c>
      <c r="H57" s="282">
        <f t="shared" si="1"/>
        <v>-1.915593259913606</v>
      </c>
      <c r="I57" s="292">
        <f t="shared" si="2"/>
        <v>11.655395445247265</v>
      </c>
      <c r="J57" s="298">
        <f t="shared" si="3"/>
        <v>11.760732854204894</v>
      </c>
      <c r="K57" s="281">
        <v>213218</v>
      </c>
      <c r="L57" s="291">
        <v>232187</v>
      </c>
      <c r="M57" s="282">
        <f t="shared" si="4"/>
        <v>8.896528435685536</v>
      </c>
      <c r="N57" s="292">
        <f t="shared" si="5"/>
        <v>13.615157780737839</v>
      </c>
      <c r="O57" s="293">
        <f t="shared" si="6"/>
        <v>14.951562467802756</v>
      </c>
    </row>
    <row r="58" spans="1:15" s="199" customFormat="1" ht="18" customHeight="1">
      <c r="A58" s="302"/>
      <c r="B58" s="303"/>
      <c r="C58" s="304"/>
      <c r="D58" s="305"/>
      <c r="E58" s="306"/>
      <c r="F58" s="302"/>
      <c r="G58" s="303"/>
      <c r="H58" s="304"/>
      <c r="I58" s="305"/>
      <c r="J58" s="306"/>
      <c r="K58" s="302"/>
      <c r="L58" s="303"/>
      <c r="M58" s="304"/>
      <c r="N58" s="305"/>
      <c r="O58" s="306"/>
    </row>
    <row r="59" spans="1:15" s="199" customFormat="1" ht="18" customHeight="1" thickBot="1">
      <c r="A59" s="308">
        <f>A42-A44</f>
        <v>17787</v>
      </c>
      <c r="B59" s="309">
        <f>B42-B44</f>
        <v>18225</v>
      </c>
      <c r="C59" s="310">
        <f>(B59/A59-1)*100</f>
        <v>2.4624725923427127</v>
      </c>
      <c r="D59" s="311" t="s">
        <v>221</v>
      </c>
      <c r="E59" s="312" t="s">
        <v>221</v>
      </c>
      <c r="F59" s="308">
        <f>F42-F44</f>
        <v>299887</v>
      </c>
      <c r="G59" s="309">
        <f>G42-G44</f>
        <v>315959</v>
      </c>
      <c r="H59" s="310">
        <f>(G59/F59-1)*100</f>
        <v>5.359352022595187</v>
      </c>
      <c r="I59" s="311" t="s">
        <v>221</v>
      </c>
      <c r="J59" s="312" t="s">
        <v>221</v>
      </c>
      <c r="K59" s="311" t="s">
        <v>221</v>
      </c>
      <c r="L59" s="312" t="s">
        <v>221</v>
      </c>
      <c r="M59" s="313" t="s">
        <v>221</v>
      </c>
      <c r="N59" s="311" t="s">
        <v>221</v>
      </c>
      <c r="O59" s="312" t="s">
        <v>221</v>
      </c>
    </row>
  </sheetData>
  <mergeCells count="11">
    <mergeCell ref="B22:C22"/>
    <mergeCell ref="A38:C38"/>
    <mergeCell ref="A39:B39"/>
    <mergeCell ref="D38:E38"/>
    <mergeCell ref="D39:E39"/>
    <mergeCell ref="K38:O38"/>
    <mergeCell ref="K39:L39"/>
    <mergeCell ref="N39:O39"/>
    <mergeCell ref="F38:J38"/>
    <mergeCell ref="F39:G39"/>
    <mergeCell ref="I39:J39"/>
  </mergeCells>
  <printOptions/>
  <pageMargins left="0.75" right="0.75" top="1" bottom="1" header="0.512" footer="0.51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8">
    <tabColor indexed="50"/>
  </sheetPr>
  <dimension ref="B1:E50"/>
  <sheetViews>
    <sheetView view="pageBreakPreview" zoomScale="75" zoomScaleNormal="75" zoomScaleSheetLayoutView="75" workbookViewId="0" topLeftCell="A1">
      <selection activeCell="B1" sqref="B1"/>
    </sheetView>
  </sheetViews>
  <sheetFormatPr defaultColWidth="9.00390625" defaultRowHeight="13.5"/>
  <cols>
    <col min="1" max="1" width="4.125" style="0" customWidth="1"/>
    <col min="2" max="2" width="38.00390625" style="0" customWidth="1"/>
    <col min="3" max="4" width="14.875" style="0" customWidth="1"/>
    <col min="5" max="5" width="12.00390625" style="35" customWidth="1"/>
  </cols>
  <sheetData>
    <row r="1" ht="17.25">
      <c r="B1" s="475" t="s">
        <v>244</v>
      </c>
    </row>
    <row r="2" ht="13.5" customHeight="1">
      <c r="B2" s="134"/>
    </row>
    <row r="3" spans="2:5" ht="13.5" customHeight="1">
      <c r="B3" s="165"/>
      <c r="C3" s="166"/>
      <c r="D3" s="166"/>
      <c r="E3" s="169"/>
    </row>
    <row r="4" spans="2:5" ht="13.5" customHeight="1">
      <c r="B4" s="623" t="s">
        <v>247</v>
      </c>
      <c r="C4" s="624"/>
      <c r="D4" s="624"/>
      <c r="E4" s="625"/>
    </row>
    <row r="5" spans="2:5" ht="13.5" customHeight="1">
      <c r="B5" s="338"/>
      <c r="C5" s="315"/>
      <c r="D5" s="315"/>
      <c r="E5" s="340"/>
    </row>
    <row r="6" spans="2:5" ht="13.5" customHeight="1">
      <c r="B6" s="460" t="s">
        <v>352</v>
      </c>
      <c r="C6" s="1"/>
      <c r="D6" s="1"/>
      <c r="E6" s="341"/>
    </row>
    <row r="7" spans="2:5" ht="13.5" customHeight="1">
      <c r="B7" s="267"/>
      <c r="C7" s="119"/>
      <c r="D7" s="119"/>
      <c r="E7" s="342"/>
    </row>
    <row r="8" ht="13.5" customHeight="1"/>
    <row r="9" ht="14.25">
      <c r="B9" s="198" t="s">
        <v>7</v>
      </c>
    </row>
    <row r="10" spans="2:5" s="187" customFormat="1" ht="13.5">
      <c r="B10" s="134" t="s">
        <v>8</v>
      </c>
      <c r="E10" s="250"/>
    </row>
    <row r="11" spans="2:5" s="187" customFormat="1" ht="13.5">
      <c r="B11" s="464" t="s">
        <v>376</v>
      </c>
      <c r="E11" s="250"/>
    </row>
    <row r="12" spans="2:5" s="187" customFormat="1" ht="13.5">
      <c r="B12" s="476" t="s">
        <v>377</v>
      </c>
      <c r="E12" s="250"/>
    </row>
    <row r="13" spans="2:5" s="187" customFormat="1" ht="13.5">
      <c r="B13" s="464" t="s">
        <v>378</v>
      </c>
      <c r="E13" s="250"/>
    </row>
    <row r="14" spans="2:5" s="187" customFormat="1" ht="13.5">
      <c r="B14" s="464" t="s">
        <v>379</v>
      </c>
      <c r="E14" s="250"/>
    </row>
    <row r="15" spans="2:5" s="187" customFormat="1" ht="13.5">
      <c r="B15" s="464" t="s">
        <v>9</v>
      </c>
      <c r="E15" s="250"/>
    </row>
    <row r="16" s="187" customFormat="1" ht="13.5">
      <c r="E16" s="250"/>
    </row>
    <row r="17" spans="2:5" s="187" customFormat="1" ht="13.5">
      <c r="B17" s="134" t="s">
        <v>350</v>
      </c>
      <c r="E17" s="250"/>
    </row>
    <row r="18" spans="2:5" s="187" customFormat="1" ht="13.5">
      <c r="B18" s="464" t="s">
        <v>380</v>
      </c>
      <c r="E18" s="250"/>
    </row>
    <row r="19" spans="2:5" s="187" customFormat="1" ht="13.5">
      <c r="B19" s="476" t="s">
        <v>381</v>
      </c>
      <c r="E19" s="250"/>
    </row>
    <row r="20" spans="2:5" s="187" customFormat="1" ht="13.5">
      <c r="B20" s="464" t="s">
        <v>382</v>
      </c>
      <c r="E20" s="250"/>
    </row>
    <row r="21" spans="2:5" s="187" customFormat="1" ht="13.5">
      <c r="B21" s="464" t="s">
        <v>383</v>
      </c>
      <c r="E21" s="250"/>
    </row>
    <row r="22" spans="2:5" s="187" customFormat="1" ht="13.5">
      <c r="B22" s="464" t="s">
        <v>384</v>
      </c>
      <c r="E22" s="250"/>
    </row>
    <row r="23" s="187" customFormat="1" ht="13.5">
      <c r="E23" s="250"/>
    </row>
    <row r="24" s="187" customFormat="1" ht="13.5">
      <c r="E24" s="250"/>
    </row>
    <row r="25" s="187" customFormat="1" ht="13.5">
      <c r="E25" s="250"/>
    </row>
    <row r="27" ht="15" thickBot="1">
      <c r="B27" s="242" t="s">
        <v>12</v>
      </c>
    </row>
    <row r="28" spans="2:5" ht="14.25" thickBot="1">
      <c r="B28" s="14" t="s">
        <v>22</v>
      </c>
      <c r="C28" s="600" t="s">
        <v>91</v>
      </c>
      <c r="D28" s="601"/>
      <c r="E28" s="29" t="s">
        <v>59</v>
      </c>
    </row>
    <row r="29" spans="2:5" ht="14.25" thickBot="1">
      <c r="B29" s="3"/>
      <c r="C29" s="57" t="s">
        <v>48</v>
      </c>
      <c r="D29" s="57" t="s">
        <v>49</v>
      </c>
      <c r="E29" s="31" t="s">
        <v>29</v>
      </c>
    </row>
    <row r="30" spans="2:5" ht="13.5">
      <c r="B30" s="2"/>
      <c r="C30" s="16" t="s">
        <v>108</v>
      </c>
      <c r="D30" s="54" t="s">
        <v>108</v>
      </c>
      <c r="E30" s="32" t="s">
        <v>351</v>
      </c>
    </row>
    <row r="31" spans="2:5" s="49" customFormat="1" ht="13.5">
      <c r="B31" s="42" t="s">
        <v>33</v>
      </c>
      <c r="C31" s="43">
        <v>15039</v>
      </c>
      <c r="D31" s="44">
        <v>14987</v>
      </c>
      <c r="E31" s="46">
        <f>(D31/C31-1)*100</f>
        <v>-0.34576767072278525</v>
      </c>
    </row>
    <row r="32" spans="2:5" s="22" customFormat="1" ht="13.5">
      <c r="B32" s="18"/>
      <c r="C32" s="19"/>
      <c r="D32" s="20"/>
      <c r="E32" s="33"/>
    </row>
    <row r="33" spans="2:5" s="49" customFormat="1" ht="13.5">
      <c r="B33" s="42" t="s">
        <v>94</v>
      </c>
      <c r="C33" s="43">
        <v>50208</v>
      </c>
      <c r="D33" s="44">
        <v>47495</v>
      </c>
      <c r="E33" s="46">
        <f>(D33/C33-1)*100</f>
        <v>-5.403521351179097</v>
      </c>
    </row>
    <row r="34" spans="2:5" s="22" customFormat="1" ht="13.5">
      <c r="B34" s="18"/>
      <c r="C34" s="19"/>
      <c r="D34" s="20"/>
      <c r="E34" s="33"/>
    </row>
    <row r="35" spans="2:5" s="22" customFormat="1" ht="13.5">
      <c r="B35" s="18" t="s">
        <v>35</v>
      </c>
      <c r="C35" s="19">
        <v>158992</v>
      </c>
      <c r="D35" s="20">
        <v>117473</v>
      </c>
      <c r="E35" s="33">
        <f aca="true" t="shared" si="0" ref="E35:E40">(D35/C35-1)*100</f>
        <v>-26.113892522894233</v>
      </c>
    </row>
    <row r="36" spans="2:5" s="22" customFormat="1" ht="13.5">
      <c r="B36" s="18" t="s">
        <v>36</v>
      </c>
      <c r="C36" s="19">
        <v>19479</v>
      </c>
      <c r="D36" s="20">
        <v>16294</v>
      </c>
      <c r="E36" s="33">
        <f t="shared" si="0"/>
        <v>-16.3509420401458</v>
      </c>
    </row>
    <row r="37" spans="2:5" s="22" customFormat="1" ht="13.5">
      <c r="B37" s="18" t="s">
        <v>37</v>
      </c>
      <c r="C37" s="19">
        <v>73257</v>
      </c>
      <c r="D37" s="20">
        <v>71536</v>
      </c>
      <c r="E37" s="33">
        <f t="shared" si="0"/>
        <v>-2.3492635516059845</v>
      </c>
    </row>
    <row r="38" spans="2:5" s="22" customFormat="1" ht="13.5">
      <c r="B38" s="18" t="s">
        <v>63</v>
      </c>
      <c r="C38" s="19">
        <v>42029</v>
      </c>
      <c r="D38" s="20">
        <v>40073</v>
      </c>
      <c r="E38" s="33">
        <f t="shared" si="0"/>
        <v>-4.653929429679504</v>
      </c>
    </row>
    <row r="39" spans="2:5" s="22" customFormat="1" ht="13.5">
      <c r="B39" s="18" t="s">
        <v>40</v>
      </c>
      <c r="C39" s="19">
        <v>38979</v>
      </c>
      <c r="D39" s="20">
        <v>36023</v>
      </c>
      <c r="E39" s="33">
        <f t="shared" si="0"/>
        <v>-7.583570640601344</v>
      </c>
    </row>
    <row r="40" spans="2:5" s="22" customFormat="1" ht="13.5">
      <c r="B40" s="18" t="s">
        <v>41</v>
      </c>
      <c r="C40" s="19">
        <v>42393</v>
      </c>
      <c r="D40" s="20">
        <v>39210</v>
      </c>
      <c r="E40" s="33">
        <f t="shared" si="0"/>
        <v>-7.5083150520133035</v>
      </c>
    </row>
    <row r="41" spans="2:5" s="22" customFormat="1" ht="13.5">
      <c r="B41" s="18"/>
      <c r="C41" s="19"/>
      <c r="D41" s="20"/>
      <c r="E41" s="33"/>
    </row>
    <row r="42" spans="2:5" s="49" customFormat="1" ht="13.5">
      <c r="B42" s="42" t="s">
        <v>43</v>
      </c>
      <c r="C42" s="43">
        <v>7881</v>
      </c>
      <c r="D42" s="44">
        <v>8112</v>
      </c>
      <c r="E42" s="46">
        <f>(D42/C42-1)*100</f>
        <v>2.9311001141987036</v>
      </c>
    </row>
    <row r="43" spans="2:5" s="22" customFormat="1" ht="13.5">
      <c r="B43" s="18"/>
      <c r="C43" s="19"/>
      <c r="D43" s="20"/>
      <c r="E43" s="33"/>
    </row>
    <row r="44" spans="2:5" s="22" customFormat="1" ht="13.5">
      <c r="B44" s="18" t="s">
        <v>44</v>
      </c>
      <c r="C44" s="19">
        <v>180979</v>
      </c>
      <c r="D44" s="20">
        <v>160949</v>
      </c>
      <c r="E44" s="33">
        <f aca="true" t="shared" si="1" ref="E44:E49">(D44/C44-1)*100</f>
        <v>-11.067582426690393</v>
      </c>
    </row>
    <row r="45" spans="2:5" s="22" customFormat="1" ht="13.5">
      <c r="B45" s="18" t="s">
        <v>62</v>
      </c>
      <c r="C45" s="19">
        <v>4750</v>
      </c>
      <c r="D45" s="20">
        <v>4298</v>
      </c>
      <c r="E45" s="33">
        <f t="shared" si="1"/>
        <v>-9.515789473684212</v>
      </c>
    </row>
    <row r="46" spans="2:5" s="22" customFormat="1" ht="13.5">
      <c r="B46" s="18" t="s">
        <v>45</v>
      </c>
      <c r="C46" s="19">
        <v>6582</v>
      </c>
      <c r="D46" s="20">
        <v>6985</v>
      </c>
      <c r="E46" s="33">
        <f t="shared" si="1"/>
        <v>6.122759039805525</v>
      </c>
    </row>
    <row r="47" spans="2:5" s="22" customFormat="1" ht="13.5">
      <c r="B47" s="18" t="s">
        <v>46</v>
      </c>
      <c r="C47" s="19">
        <v>13487</v>
      </c>
      <c r="D47" s="20">
        <v>14168</v>
      </c>
      <c r="E47" s="33">
        <f t="shared" si="1"/>
        <v>5.049306739823534</v>
      </c>
    </row>
    <row r="48" spans="2:5" s="22" customFormat="1" ht="13.5">
      <c r="B48" s="18" t="s">
        <v>61</v>
      </c>
      <c r="C48" s="19">
        <v>5806</v>
      </c>
      <c r="D48" s="20">
        <v>6485</v>
      </c>
      <c r="E48" s="33">
        <f t="shared" si="1"/>
        <v>11.694798484326551</v>
      </c>
    </row>
    <row r="49" spans="2:5" s="22" customFormat="1" ht="13.5">
      <c r="B49" s="18" t="s">
        <v>47</v>
      </c>
      <c r="C49" s="19">
        <v>8396</v>
      </c>
      <c r="D49" s="20">
        <v>8512</v>
      </c>
      <c r="E49" s="33">
        <f t="shared" si="1"/>
        <v>1.3816102906145877</v>
      </c>
    </row>
    <row r="50" spans="2:5" s="22" customFormat="1" ht="14.25" thickBot="1">
      <c r="B50" s="23"/>
      <c r="C50" s="24"/>
      <c r="D50" s="25"/>
      <c r="E50" s="34"/>
    </row>
  </sheetData>
  <mergeCells count="2">
    <mergeCell ref="C28:D28"/>
    <mergeCell ref="B4:E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>
    <tabColor indexed="50"/>
  </sheetPr>
  <dimension ref="A1:F50"/>
  <sheetViews>
    <sheetView view="pageBreakPreview" zoomScale="75" zoomScaleNormal="75" zoomScaleSheetLayoutView="75" workbookViewId="0" topLeftCell="A1">
      <selection activeCell="C36" sqref="C36"/>
    </sheetView>
  </sheetViews>
  <sheetFormatPr defaultColWidth="9.00390625" defaultRowHeight="13.5"/>
  <cols>
    <col min="1" max="1" width="15.125" style="0" customWidth="1"/>
    <col min="2" max="2" width="14.875" style="0" customWidth="1"/>
    <col min="3" max="3" width="11.25390625" style="35" bestFit="1" customWidth="1"/>
    <col min="4" max="5" width="15.625" style="0" customWidth="1"/>
    <col min="6" max="6" width="12.00390625" style="35" customWidth="1"/>
  </cols>
  <sheetData>
    <row r="1" spans="1:3" ht="13.5">
      <c r="A1" s="35"/>
      <c r="B1" s="35"/>
      <c r="C1"/>
    </row>
    <row r="2" spans="1:3" ht="13.5" customHeight="1">
      <c r="A2" s="198" t="s">
        <v>11</v>
      </c>
      <c r="B2" s="35"/>
      <c r="C2"/>
    </row>
    <row r="3" spans="1:5" ht="13.5" customHeight="1">
      <c r="A3" s="134" t="s">
        <v>8</v>
      </c>
      <c r="B3" s="315"/>
      <c r="C3" s="161"/>
      <c r="D3" s="1"/>
      <c r="E3" s="1"/>
    </row>
    <row r="4" spans="1:5" ht="13.5" customHeight="1">
      <c r="A4" s="464" t="s">
        <v>385</v>
      </c>
      <c r="B4" s="339"/>
      <c r="C4" s="339"/>
      <c r="D4" s="339"/>
      <c r="E4" s="339"/>
    </row>
    <row r="5" spans="1:5" ht="13.5" customHeight="1">
      <c r="A5" s="476" t="s">
        <v>386</v>
      </c>
      <c r="B5" s="315"/>
      <c r="C5" s="154"/>
      <c r="D5" s="1"/>
      <c r="E5" s="1"/>
    </row>
    <row r="6" ht="13.5" customHeight="1">
      <c r="A6" s="464" t="s">
        <v>387</v>
      </c>
    </row>
    <row r="7" ht="13.5" customHeight="1">
      <c r="A7" s="464" t="s">
        <v>388</v>
      </c>
    </row>
    <row r="8" ht="13.5" customHeight="1">
      <c r="A8" s="464" t="s">
        <v>245</v>
      </c>
    </row>
    <row r="9" ht="13.5">
      <c r="A9" s="132"/>
    </row>
    <row r="10" spans="1:6" s="132" customFormat="1" ht="13.5">
      <c r="A10" s="134" t="s">
        <v>10</v>
      </c>
      <c r="C10" s="133"/>
      <c r="F10" s="133"/>
    </row>
    <row r="11" spans="1:6" s="132" customFormat="1" ht="13.5">
      <c r="A11" s="464" t="s">
        <v>389</v>
      </c>
      <c r="C11" s="133"/>
      <c r="F11" s="133"/>
    </row>
    <row r="12" spans="1:6" s="132" customFormat="1" ht="13.5">
      <c r="A12" s="464" t="s">
        <v>390</v>
      </c>
      <c r="C12" s="133"/>
      <c r="F12" s="133"/>
    </row>
    <row r="13" spans="1:6" s="132" customFormat="1" ht="13.5">
      <c r="A13" s="476" t="s">
        <v>391</v>
      </c>
      <c r="C13" s="133"/>
      <c r="F13" s="133"/>
    </row>
    <row r="14" spans="1:6" s="132" customFormat="1" ht="13.5">
      <c r="A14" s="464" t="s">
        <v>392</v>
      </c>
      <c r="C14" s="133"/>
      <c r="F14" s="133"/>
    </row>
    <row r="15" spans="1:6" s="132" customFormat="1" ht="13.5">
      <c r="A15" s="464" t="s">
        <v>393</v>
      </c>
      <c r="C15" s="133"/>
      <c r="F15" s="133"/>
    </row>
    <row r="16" spans="1:6" s="132" customFormat="1" ht="13.5">
      <c r="A16" s="464" t="s">
        <v>394</v>
      </c>
      <c r="C16" s="133"/>
      <c r="F16" s="133"/>
    </row>
    <row r="17" spans="3:6" s="132" customFormat="1" ht="13.5">
      <c r="C17" s="133"/>
      <c r="F17" s="133"/>
    </row>
    <row r="18" spans="1:6" s="132" customFormat="1" ht="13.5">
      <c r="A18" s="134" t="s">
        <v>246</v>
      </c>
      <c r="C18" s="133"/>
      <c r="F18" s="133"/>
    </row>
    <row r="19" spans="1:6" s="132" customFormat="1" ht="13.5">
      <c r="A19" s="464" t="s">
        <v>395</v>
      </c>
      <c r="C19" s="133"/>
      <c r="F19" s="133"/>
    </row>
    <row r="20" spans="1:6" s="132" customFormat="1" ht="13.5">
      <c r="A20" s="464" t="s">
        <v>396</v>
      </c>
      <c r="C20" s="133"/>
      <c r="F20" s="133"/>
    </row>
    <row r="21" spans="1:6" s="132" customFormat="1" ht="13.5">
      <c r="A21" s="476" t="s">
        <v>397</v>
      </c>
      <c r="C21" s="133"/>
      <c r="F21" s="133"/>
    </row>
    <row r="22" spans="1:6" s="132" customFormat="1" ht="13.5">
      <c r="A22" s="464" t="s">
        <v>398</v>
      </c>
      <c r="C22" s="133"/>
      <c r="F22" s="133"/>
    </row>
    <row r="23" spans="1:6" s="132" customFormat="1" ht="13.5">
      <c r="A23" s="464" t="s">
        <v>399</v>
      </c>
      <c r="C23" s="133"/>
      <c r="F23" s="133"/>
    </row>
    <row r="24" spans="1:6" s="132" customFormat="1" ht="13.5">
      <c r="A24" s="464" t="s">
        <v>400</v>
      </c>
      <c r="C24" s="133"/>
      <c r="F24" s="133"/>
    </row>
    <row r="25" spans="3:6" s="132" customFormat="1" ht="13.5">
      <c r="C25" s="133"/>
      <c r="F25" s="133"/>
    </row>
    <row r="27" ht="14.25" thickBot="1"/>
    <row r="28" spans="1:6" ht="14.25" thickBot="1">
      <c r="A28" s="600" t="s">
        <v>92</v>
      </c>
      <c r="B28" s="601"/>
      <c r="C28" s="29" t="s">
        <v>59</v>
      </c>
      <c r="D28" s="600" t="s">
        <v>93</v>
      </c>
      <c r="E28" s="601"/>
      <c r="F28" s="29" t="s">
        <v>59</v>
      </c>
    </row>
    <row r="29" spans="1:6" ht="14.25" thickBot="1">
      <c r="A29" s="57" t="s">
        <v>48</v>
      </c>
      <c r="B29" s="57" t="s">
        <v>49</v>
      </c>
      <c r="C29" s="31" t="s">
        <v>29</v>
      </c>
      <c r="D29" s="57" t="s">
        <v>48</v>
      </c>
      <c r="E29" s="57" t="s">
        <v>49</v>
      </c>
      <c r="F29" s="31" t="s">
        <v>29</v>
      </c>
    </row>
    <row r="30" spans="1:6" ht="13.5">
      <c r="A30" s="16" t="s">
        <v>108</v>
      </c>
      <c r="B30" s="54" t="s">
        <v>108</v>
      </c>
      <c r="C30" s="32" t="s">
        <v>73</v>
      </c>
      <c r="D30" s="16" t="s">
        <v>108</v>
      </c>
      <c r="E30" s="54" t="s">
        <v>108</v>
      </c>
      <c r="F30" s="32" t="s">
        <v>73</v>
      </c>
    </row>
    <row r="31" spans="1:6" s="49" customFormat="1" ht="13.5">
      <c r="A31" s="43">
        <v>2708</v>
      </c>
      <c r="B31" s="44">
        <v>2660</v>
      </c>
      <c r="C31" s="46">
        <f>(B31/A31-1)*100</f>
        <v>-1.7725258493353047</v>
      </c>
      <c r="D31" s="65" t="s">
        <v>90</v>
      </c>
      <c r="E31" s="66" t="s">
        <v>90</v>
      </c>
      <c r="F31" s="46"/>
    </row>
    <row r="32" spans="1:6" s="22" customFormat="1" ht="13.5">
      <c r="A32" s="19"/>
      <c r="B32" s="20"/>
      <c r="C32" s="33"/>
      <c r="D32" s="19"/>
      <c r="E32" s="21"/>
      <c r="F32" s="33"/>
    </row>
    <row r="33" spans="1:6" s="49" customFormat="1" ht="13.5">
      <c r="A33" s="43">
        <v>6101</v>
      </c>
      <c r="B33" s="44">
        <v>6245</v>
      </c>
      <c r="C33" s="46">
        <f>(B33/A33-1)*100</f>
        <v>2.360268808392063</v>
      </c>
      <c r="D33" s="65" t="s">
        <v>90</v>
      </c>
      <c r="E33" s="66" t="s">
        <v>90</v>
      </c>
      <c r="F33" s="46"/>
    </row>
    <row r="34" spans="1:6" s="22" customFormat="1" ht="13.5">
      <c r="A34" s="19"/>
      <c r="B34" s="20"/>
      <c r="C34" s="33"/>
      <c r="D34" s="19"/>
      <c r="E34" s="21"/>
      <c r="F34" s="33"/>
    </row>
    <row r="35" spans="1:6" s="22" customFormat="1" ht="13.5">
      <c r="A35" s="19">
        <v>8784</v>
      </c>
      <c r="B35" s="20">
        <v>8899</v>
      </c>
      <c r="C35" s="33">
        <f aca="true" t="shared" si="0" ref="C35:C40">(B35/A35-1)*100</f>
        <v>1.30919854280509</v>
      </c>
      <c r="D35" s="65" t="s">
        <v>90</v>
      </c>
      <c r="E35" s="66" t="s">
        <v>90</v>
      </c>
      <c r="F35" s="33"/>
    </row>
    <row r="36" spans="1:6" s="22" customFormat="1" ht="13.5">
      <c r="A36" s="19">
        <v>3002</v>
      </c>
      <c r="B36" s="20">
        <v>2695</v>
      </c>
      <c r="C36" s="33">
        <f t="shared" si="0"/>
        <v>-10.226515656229186</v>
      </c>
      <c r="D36" s="65" t="s">
        <v>90</v>
      </c>
      <c r="E36" s="66" t="s">
        <v>90</v>
      </c>
      <c r="F36" s="33"/>
    </row>
    <row r="37" spans="1:6" s="22" customFormat="1" ht="13.5">
      <c r="A37" s="19">
        <v>7524</v>
      </c>
      <c r="B37" s="20">
        <v>8067</v>
      </c>
      <c r="C37" s="33">
        <f t="shared" si="0"/>
        <v>7.216905901116433</v>
      </c>
      <c r="D37" s="65" t="s">
        <v>90</v>
      </c>
      <c r="E37" s="66" t="s">
        <v>90</v>
      </c>
      <c r="F37" s="33"/>
    </row>
    <row r="38" spans="1:6" s="22" customFormat="1" ht="13.5">
      <c r="A38" s="19">
        <v>5968</v>
      </c>
      <c r="B38" s="20">
        <v>5932</v>
      </c>
      <c r="C38" s="33">
        <f t="shared" si="0"/>
        <v>-0.6032171581769386</v>
      </c>
      <c r="D38" s="65" t="s">
        <v>90</v>
      </c>
      <c r="E38" s="66" t="s">
        <v>90</v>
      </c>
      <c r="F38" s="33"/>
    </row>
    <row r="39" spans="1:6" s="22" customFormat="1" ht="13.5">
      <c r="A39" s="19">
        <v>4835</v>
      </c>
      <c r="B39" s="20">
        <v>4792</v>
      </c>
      <c r="C39" s="33">
        <f t="shared" si="0"/>
        <v>-0.889348500517062</v>
      </c>
      <c r="D39" s="65" t="s">
        <v>90</v>
      </c>
      <c r="E39" s="66" t="s">
        <v>90</v>
      </c>
      <c r="F39" s="33"/>
    </row>
    <row r="40" spans="1:6" s="22" customFormat="1" ht="13.5">
      <c r="A40" s="19">
        <v>5445</v>
      </c>
      <c r="B40" s="20">
        <v>5533</v>
      </c>
      <c r="C40" s="33">
        <f t="shared" si="0"/>
        <v>1.6161616161616266</v>
      </c>
      <c r="D40" s="65" t="s">
        <v>90</v>
      </c>
      <c r="E40" s="66" t="s">
        <v>90</v>
      </c>
      <c r="F40" s="33"/>
    </row>
    <row r="41" spans="1:6" s="22" customFormat="1" ht="13.5">
      <c r="A41" s="19"/>
      <c r="B41" s="20"/>
      <c r="C41" s="33"/>
      <c r="D41" s="19"/>
      <c r="E41" s="20"/>
      <c r="F41" s="33"/>
    </row>
    <row r="42" spans="1:6" s="49" customFormat="1" ht="13.5">
      <c r="A42" s="43">
        <v>1573</v>
      </c>
      <c r="B42" s="44">
        <v>1555</v>
      </c>
      <c r="C42" s="46">
        <f>(B42/A42-1)*100</f>
        <v>-1.1443102352193257</v>
      </c>
      <c r="D42" s="43">
        <v>56</v>
      </c>
      <c r="E42" s="44">
        <v>76</v>
      </c>
      <c r="F42" s="46">
        <f>(E42/D42-1)*100</f>
        <v>35.71428571428572</v>
      </c>
    </row>
    <row r="43" spans="1:6" s="22" customFormat="1" ht="13.5">
      <c r="A43" s="19"/>
      <c r="B43" s="20"/>
      <c r="C43" s="33"/>
      <c r="D43" s="19"/>
      <c r="E43" s="20"/>
      <c r="F43" s="33"/>
    </row>
    <row r="44" spans="1:6" s="22" customFormat="1" ht="13.5">
      <c r="A44" s="19">
        <v>2172</v>
      </c>
      <c r="B44" s="20">
        <v>1936</v>
      </c>
      <c r="C44" s="33">
        <f aca="true" t="shared" si="1" ref="C44:C49">(B44/A44-1)*100</f>
        <v>-10.865561694290971</v>
      </c>
      <c r="D44" s="19">
        <v>49</v>
      </c>
      <c r="E44" s="20">
        <v>46</v>
      </c>
      <c r="F44" s="33">
        <f aca="true" t="shared" si="2" ref="F44:F49">(E44/D44-1)*100</f>
        <v>-6.122448979591832</v>
      </c>
    </row>
    <row r="45" spans="1:6" s="22" customFormat="1" ht="13.5">
      <c r="A45" s="19">
        <v>1417</v>
      </c>
      <c r="B45" s="20">
        <v>1290</v>
      </c>
      <c r="C45" s="33">
        <f t="shared" si="1"/>
        <v>-8.962597035991527</v>
      </c>
      <c r="D45" s="19">
        <v>35</v>
      </c>
      <c r="E45" s="20">
        <v>35</v>
      </c>
      <c r="F45" s="33">
        <f t="shared" si="2"/>
        <v>0</v>
      </c>
    </row>
    <row r="46" spans="1:6" s="22" customFormat="1" ht="13.5">
      <c r="A46" s="19">
        <v>1364</v>
      </c>
      <c r="B46" s="20">
        <v>1380</v>
      </c>
      <c r="C46" s="33">
        <f t="shared" si="1"/>
        <v>1.1730205278592365</v>
      </c>
      <c r="D46" s="19">
        <v>72</v>
      </c>
      <c r="E46" s="20">
        <v>78</v>
      </c>
      <c r="F46" s="33">
        <f t="shared" si="2"/>
        <v>8.333333333333325</v>
      </c>
    </row>
    <row r="47" spans="1:6" s="22" customFormat="1" ht="13.5">
      <c r="A47" s="19">
        <v>2471</v>
      </c>
      <c r="B47" s="20">
        <v>2435</v>
      </c>
      <c r="C47" s="33">
        <f t="shared" si="1"/>
        <v>-1.4569000404694443</v>
      </c>
      <c r="D47" s="19">
        <v>40</v>
      </c>
      <c r="E47" s="20">
        <v>419</v>
      </c>
      <c r="F47" s="33">
        <f t="shared" si="2"/>
        <v>947.5</v>
      </c>
    </row>
    <row r="48" spans="1:6" s="22" customFormat="1" ht="13.5">
      <c r="A48" s="19">
        <v>1656</v>
      </c>
      <c r="B48" s="20">
        <v>1706</v>
      </c>
      <c r="C48" s="33">
        <f t="shared" si="1"/>
        <v>3.0193236714975757</v>
      </c>
      <c r="D48" s="19">
        <v>43</v>
      </c>
      <c r="E48" s="20">
        <v>43</v>
      </c>
      <c r="F48" s="33">
        <f t="shared" si="2"/>
        <v>0</v>
      </c>
    </row>
    <row r="49" spans="1:6" s="22" customFormat="1" ht="13.5">
      <c r="A49" s="19">
        <v>1551</v>
      </c>
      <c r="B49" s="20">
        <v>1531</v>
      </c>
      <c r="C49" s="33">
        <f t="shared" si="1"/>
        <v>-1.2894906511927817</v>
      </c>
      <c r="D49" s="19">
        <v>60</v>
      </c>
      <c r="E49" s="20">
        <v>97</v>
      </c>
      <c r="F49" s="33">
        <f t="shared" si="2"/>
        <v>61.66666666666667</v>
      </c>
    </row>
    <row r="50" spans="1:6" s="22" customFormat="1" ht="14.25" thickBot="1">
      <c r="A50" s="24"/>
      <c r="B50" s="25"/>
      <c r="C50" s="34"/>
      <c r="D50" s="24"/>
      <c r="E50" s="25"/>
      <c r="F50" s="34"/>
    </row>
  </sheetData>
  <mergeCells count="2">
    <mergeCell ref="A28:B28"/>
    <mergeCell ref="D28:E2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>
    <tabColor indexed="24"/>
  </sheetPr>
  <dimension ref="A1:I46"/>
  <sheetViews>
    <sheetView zoomScale="75" zoomScaleNormal="75" workbookViewId="0" topLeftCell="A4">
      <selection activeCell="I31" sqref="I31"/>
    </sheetView>
  </sheetViews>
  <sheetFormatPr defaultColWidth="9.00390625" defaultRowHeight="13.5"/>
  <cols>
    <col min="1" max="1" width="3.625" style="0" customWidth="1"/>
    <col min="2" max="2" width="2.75390625" style="0" customWidth="1"/>
    <col min="3" max="4" width="11.625" style="61" customWidth="1"/>
    <col min="5" max="5" width="12.375" style="35" customWidth="1"/>
    <col min="6" max="7" width="9.00390625" style="35" customWidth="1"/>
    <col min="8" max="8" width="9.00390625" style="1" customWidth="1"/>
    <col min="11" max="11" width="9.625" style="0" customWidth="1"/>
  </cols>
  <sheetData>
    <row r="1" spans="1:8" ht="21">
      <c r="A1" s="466" t="s">
        <v>251</v>
      </c>
      <c r="H1"/>
    </row>
    <row r="2" ht="14.25" customHeight="1">
      <c r="H2"/>
    </row>
    <row r="3" spans="1:2" s="382" customFormat="1" ht="19.5" customHeight="1">
      <c r="A3" s="230" t="s">
        <v>254</v>
      </c>
      <c r="B3" s="230"/>
    </row>
    <row r="4" s="199" customFormat="1" ht="19.5" customHeight="1">
      <c r="B4" s="204" t="s">
        <v>266</v>
      </c>
    </row>
    <row r="5" spans="2:3" s="199" customFormat="1" ht="18" customHeight="1">
      <c r="B5" s="204"/>
      <c r="C5" s="472" t="s">
        <v>256</v>
      </c>
    </row>
    <row r="6" spans="2:3" s="199" customFormat="1" ht="18" customHeight="1">
      <c r="B6" s="204"/>
      <c r="C6" s="463" t="s">
        <v>267</v>
      </c>
    </row>
    <row r="7" spans="2:3" s="199" customFormat="1" ht="18" customHeight="1">
      <c r="B7" s="204"/>
      <c r="C7" s="472" t="s">
        <v>268</v>
      </c>
    </row>
    <row r="8" spans="2:3" s="199" customFormat="1" ht="18" customHeight="1">
      <c r="B8" s="204"/>
      <c r="C8" s="472" t="s">
        <v>257</v>
      </c>
    </row>
    <row r="9" spans="2:3" s="199" customFormat="1" ht="18" customHeight="1">
      <c r="B9" s="204"/>
      <c r="C9" s="472" t="s">
        <v>258</v>
      </c>
    </row>
    <row r="10" spans="2:3" s="199" customFormat="1" ht="18" customHeight="1">
      <c r="B10" s="204"/>
      <c r="C10" s="472" t="s">
        <v>259</v>
      </c>
    </row>
    <row r="11" s="199" customFormat="1" ht="18" customHeight="1">
      <c r="B11" s="204"/>
    </row>
    <row r="12" spans="2:7" s="96" customFormat="1" ht="18" customHeight="1">
      <c r="B12" s="204" t="s">
        <v>252</v>
      </c>
      <c r="C12" s="205"/>
      <c r="D12" s="205"/>
      <c r="E12" s="203"/>
      <c r="F12" s="203"/>
      <c r="G12" s="203"/>
    </row>
    <row r="13" spans="2:7" s="96" customFormat="1" ht="18" customHeight="1">
      <c r="B13" s="204"/>
      <c r="C13" s="472" t="s">
        <v>260</v>
      </c>
      <c r="D13" s="205"/>
      <c r="E13" s="203"/>
      <c r="F13" s="203"/>
      <c r="G13" s="203"/>
    </row>
    <row r="14" spans="2:7" s="96" customFormat="1" ht="18" customHeight="1">
      <c r="B14" s="204"/>
      <c r="C14" s="463" t="s">
        <v>269</v>
      </c>
      <c r="D14" s="205"/>
      <c r="E14" s="203"/>
      <c r="F14" s="203"/>
      <c r="G14" s="203"/>
    </row>
    <row r="15" spans="2:7" s="96" customFormat="1" ht="18" customHeight="1">
      <c r="B15" s="204"/>
      <c r="C15" s="472" t="s">
        <v>261</v>
      </c>
      <c r="D15" s="205"/>
      <c r="E15" s="203"/>
      <c r="F15" s="203"/>
      <c r="G15" s="203"/>
    </row>
    <row r="16" spans="2:7" s="96" customFormat="1" ht="18" customHeight="1">
      <c r="B16" s="204"/>
      <c r="C16" s="472" t="s">
        <v>262</v>
      </c>
      <c r="D16" s="205"/>
      <c r="E16" s="203"/>
      <c r="F16" s="203"/>
      <c r="G16" s="203"/>
    </row>
    <row r="17" spans="3:8" s="96" customFormat="1" ht="18" customHeight="1">
      <c r="C17" s="472" t="s">
        <v>0</v>
      </c>
      <c r="D17" s="205"/>
      <c r="E17" s="203"/>
      <c r="F17" s="203"/>
      <c r="G17" s="203"/>
      <c r="H17" s="200"/>
    </row>
    <row r="18" spans="2:3" s="96" customFormat="1" ht="18" customHeight="1">
      <c r="B18" s="204"/>
      <c r="C18" s="472" t="s">
        <v>1</v>
      </c>
    </row>
    <row r="19" s="96" customFormat="1" ht="18" customHeight="1">
      <c r="C19" s="463" t="s">
        <v>2</v>
      </c>
    </row>
    <row r="20" spans="3:8" s="96" customFormat="1" ht="18" customHeight="1">
      <c r="C20" s="477" t="s">
        <v>3</v>
      </c>
      <c r="D20" s="205"/>
      <c r="E20" s="203"/>
      <c r="F20" s="203"/>
      <c r="G20" s="203"/>
      <c r="H20" s="200"/>
    </row>
    <row r="21" ht="18" customHeight="1"/>
    <row r="22" s="96" customFormat="1" ht="18" customHeight="1">
      <c r="B22" s="204" t="s">
        <v>253</v>
      </c>
    </row>
    <row r="23" s="96" customFormat="1" ht="18" customHeight="1">
      <c r="C23" s="472" t="s">
        <v>4</v>
      </c>
    </row>
    <row r="24" s="96" customFormat="1" ht="18" customHeight="1">
      <c r="C24" s="463" t="s">
        <v>5</v>
      </c>
    </row>
    <row r="25" spans="2:3" s="96" customFormat="1" ht="18" customHeight="1">
      <c r="B25" s="204"/>
      <c r="C25" s="472" t="s">
        <v>401</v>
      </c>
    </row>
    <row r="26" ht="18" customHeight="1">
      <c r="C26" s="472" t="s">
        <v>6</v>
      </c>
    </row>
    <row r="27" spans="2:7" s="96" customFormat="1" ht="18" customHeight="1">
      <c r="B27" s="204"/>
      <c r="C27" s="472" t="s">
        <v>275</v>
      </c>
      <c r="D27" s="203"/>
      <c r="E27" s="203"/>
      <c r="F27" s="203"/>
      <c r="G27" s="200"/>
    </row>
    <row r="28" spans="3:7" s="96" customFormat="1" ht="18" customHeight="1">
      <c r="C28" s="472" t="s">
        <v>276</v>
      </c>
      <c r="D28" s="203"/>
      <c r="E28" s="203"/>
      <c r="F28" s="203"/>
      <c r="G28" s="200"/>
    </row>
    <row r="29" spans="3:7" s="96" customFormat="1" ht="18" customHeight="1">
      <c r="C29" s="463" t="s">
        <v>277</v>
      </c>
      <c r="D29" s="203"/>
      <c r="E29" s="203"/>
      <c r="F29" s="203"/>
      <c r="G29" s="200"/>
    </row>
    <row r="30" spans="2:7" s="187" customFormat="1" ht="18" customHeight="1">
      <c r="B30" s="96"/>
      <c r="C30" s="463" t="s">
        <v>278</v>
      </c>
      <c r="D30" s="250"/>
      <c r="E30" s="250"/>
      <c r="F30" s="250"/>
      <c r="G30" s="171"/>
    </row>
    <row r="31" spans="4:7" s="187" customFormat="1" ht="18" customHeight="1">
      <c r="D31" s="250"/>
      <c r="E31" s="250"/>
      <c r="F31" s="250"/>
      <c r="G31" s="171"/>
    </row>
    <row r="32" ht="18" customHeight="1"/>
    <row r="33" s="260" customFormat="1" ht="18" customHeight="1">
      <c r="A33" s="230" t="s">
        <v>255</v>
      </c>
    </row>
    <row r="34" ht="18" customHeight="1"/>
    <row r="35" spans="3:9" s="96" customFormat="1" ht="18" customHeight="1" thickBot="1">
      <c r="C35" s="628" t="s">
        <v>265</v>
      </c>
      <c r="D35" s="628"/>
      <c r="E35" s="626" t="s">
        <v>264</v>
      </c>
      <c r="F35" s="626"/>
      <c r="G35" s="626"/>
      <c r="H35" s="626"/>
      <c r="I35" s="626"/>
    </row>
    <row r="36" spans="3:9" s="96" customFormat="1" ht="18" customHeight="1">
      <c r="C36" s="628"/>
      <c r="D36" s="628"/>
      <c r="E36" s="627" t="s">
        <v>263</v>
      </c>
      <c r="F36" s="627"/>
      <c r="G36" s="627"/>
      <c r="H36" s="627"/>
      <c r="I36" s="627"/>
    </row>
    <row r="37" spans="3:8" s="96" customFormat="1" ht="18" customHeight="1">
      <c r="C37" s="205"/>
      <c r="D37" s="205"/>
      <c r="E37" s="203"/>
      <c r="F37" s="203"/>
      <c r="G37" s="203"/>
      <c r="H37" s="200"/>
    </row>
    <row r="38" spans="3:8" s="96" customFormat="1" ht="18" customHeight="1">
      <c r="C38" s="477" t="s">
        <v>270</v>
      </c>
      <c r="D38" s="205"/>
      <c r="E38" s="203"/>
      <c r="F38" s="203"/>
      <c r="G38" s="203"/>
      <c r="H38" s="200"/>
    </row>
    <row r="39" spans="3:8" s="96" customFormat="1" ht="18" customHeight="1">
      <c r="C39" s="477" t="s">
        <v>271</v>
      </c>
      <c r="D39" s="205"/>
      <c r="E39" s="203"/>
      <c r="F39" s="203"/>
      <c r="G39" s="203"/>
      <c r="H39" s="200"/>
    </row>
    <row r="40" spans="3:8" s="96" customFormat="1" ht="18" customHeight="1">
      <c r="C40" s="477" t="s">
        <v>272</v>
      </c>
      <c r="D40" s="205"/>
      <c r="E40" s="203"/>
      <c r="F40" s="203"/>
      <c r="G40" s="203"/>
      <c r="H40" s="200"/>
    </row>
    <row r="41" spans="3:8" s="96" customFormat="1" ht="18" customHeight="1">
      <c r="C41" s="477" t="s">
        <v>273</v>
      </c>
      <c r="D41" s="205"/>
      <c r="E41" s="203"/>
      <c r="F41" s="203"/>
      <c r="G41" s="203"/>
      <c r="H41" s="200"/>
    </row>
    <row r="42" spans="3:8" s="96" customFormat="1" ht="18" customHeight="1">
      <c r="C42" s="477" t="s">
        <v>402</v>
      </c>
      <c r="D42" s="205"/>
      <c r="E42" s="203"/>
      <c r="F42" s="203"/>
      <c r="G42" s="203"/>
      <c r="H42" s="200"/>
    </row>
    <row r="43" spans="3:8" s="96" customFormat="1" ht="18" customHeight="1">
      <c r="C43" s="477" t="s">
        <v>403</v>
      </c>
      <c r="D43" s="205"/>
      <c r="E43" s="203"/>
      <c r="F43" s="203"/>
      <c r="G43" s="203"/>
      <c r="H43" s="200"/>
    </row>
    <row r="44" spans="3:8" s="96" customFormat="1" ht="18" customHeight="1">
      <c r="C44" s="477" t="s">
        <v>274</v>
      </c>
      <c r="D44" s="205"/>
      <c r="E44" s="203"/>
      <c r="F44" s="203"/>
      <c r="G44" s="203"/>
      <c r="H44" s="200"/>
    </row>
    <row r="45" spans="3:8" s="96" customFormat="1" ht="18" customHeight="1">
      <c r="C45" s="477" t="s">
        <v>404</v>
      </c>
      <c r="D45" s="205"/>
      <c r="E45" s="203"/>
      <c r="F45" s="203"/>
      <c r="G45" s="203"/>
      <c r="H45" s="200"/>
    </row>
    <row r="46" spans="3:8" s="96" customFormat="1" ht="18" customHeight="1">
      <c r="C46" s="477" t="s">
        <v>405</v>
      </c>
      <c r="D46" s="205"/>
      <c r="E46" s="203"/>
      <c r="F46" s="203"/>
      <c r="G46" s="203"/>
      <c r="H46" s="200"/>
    </row>
  </sheetData>
  <mergeCells count="3">
    <mergeCell ref="E35:I35"/>
    <mergeCell ref="E36:I36"/>
    <mergeCell ref="C35:D36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">
    <tabColor indexed="24"/>
  </sheetPr>
  <dimension ref="A1:H31"/>
  <sheetViews>
    <sheetView zoomScale="75" zoomScaleNormal="75" workbookViewId="0" topLeftCell="A1">
      <selection activeCell="F39" sqref="F39"/>
    </sheetView>
  </sheetViews>
  <sheetFormatPr defaultColWidth="9.00390625" defaultRowHeight="13.5"/>
  <cols>
    <col min="1" max="1" width="11.625" style="0" customWidth="1"/>
    <col min="3" max="4" width="10.625" style="61" customWidth="1"/>
    <col min="5" max="5" width="9.50390625" style="22" customWidth="1"/>
    <col min="6" max="6" width="9.75390625" style="82" customWidth="1"/>
    <col min="7" max="8" width="9.00390625" style="28" customWidth="1"/>
  </cols>
  <sheetData>
    <row r="1" ht="18.75" customHeight="1" thickBot="1">
      <c r="A1" s="257" t="s">
        <v>248</v>
      </c>
    </row>
    <row r="2" spans="1:8" ht="19.5" customHeight="1" thickBot="1">
      <c r="A2" s="5"/>
      <c r="B2" s="67"/>
      <c r="C2" s="581" t="s">
        <v>16</v>
      </c>
      <c r="D2" s="629"/>
      <c r="E2" s="76" t="s">
        <v>95</v>
      </c>
      <c r="F2" s="78" t="s">
        <v>19</v>
      </c>
      <c r="G2" s="630" t="s">
        <v>31</v>
      </c>
      <c r="H2" s="631"/>
    </row>
    <row r="3" spans="1:8" ht="19.5" customHeight="1" thickBot="1">
      <c r="A3" s="343"/>
      <c r="B3" s="344"/>
      <c r="C3" s="353" t="s">
        <v>48</v>
      </c>
      <c r="D3" s="357" t="s">
        <v>49</v>
      </c>
      <c r="E3" s="354" t="s">
        <v>106</v>
      </c>
      <c r="F3" s="355" t="s">
        <v>107</v>
      </c>
      <c r="G3" s="356" t="s">
        <v>48</v>
      </c>
      <c r="H3" s="375" t="s">
        <v>49</v>
      </c>
    </row>
    <row r="4" spans="1:8" s="162" customFormat="1" ht="19.5" customHeight="1">
      <c r="A4" s="367"/>
      <c r="B4" s="368"/>
      <c r="C4" s="173" t="s">
        <v>32</v>
      </c>
      <c r="D4" s="369" t="s">
        <v>32</v>
      </c>
      <c r="E4" s="370" t="s">
        <v>32</v>
      </c>
      <c r="F4" s="371" t="s">
        <v>156</v>
      </c>
      <c r="G4" s="372" t="s">
        <v>156</v>
      </c>
      <c r="H4" s="376" t="s">
        <v>216</v>
      </c>
    </row>
    <row r="5" spans="1:8" ht="19.5" customHeight="1">
      <c r="A5" s="69" t="s">
        <v>17</v>
      </c>
      <c r="B5" s="70" t="s">
        <v>24</v>
      </c>
      <c r="C5" s="58">
        <v>18047</v>
      </c>
      <c r="D5" s="186">
        <f>SUM(D6:D7)</f>
        <v>17522</v>
      </c>
      <c r="E5" s="19">
        <f>D5-C5</f>
        <v>-525</v>
      </c>
      <c r="F5" s="79">
        <f>(D5/C5-1)*100</f>
        <v>-2.9090707596830523</v>
      </c>
      <c r="G5" s="74">
        <v>100</v>
      </c>
      <c r="H5" s="237">
        <f>H8+H11+H14+H17+H20+H23+H26+H29</f>
        <v>100</v>
      </c>
    </row>
    <row r="6" spans="1:8" ht="19.5" customHeight="1">
      <c r="A6" s="71"/>
      <c r="B6" s="72" t="s">
        <v>96</v>
      </c>
      <c r="C6" s="58">
        <v>3052</v>
      </c>
      <c r="D6" s="186">
        <f>D9+D12+D15+D18+D21+D24+D27+D30</f>
        <v>3059</v>
      </c>
      <c r="E6" s="19">
        <f aca="true" t="shared" si="0" ref="E6:E31">D6-C6</f>
        <v>7</v>
      </c>
      <c r="F6" s="79">
        <f aca="true" t="shared" si="1" ref="F6:F31">(D6/C6-1)*100</f>
        <v>0.2293577981651307</v>
      </c>
      <c r="G6" s="74">
        <v>16.9</v>
      </c>
      <c r="H6" s="237">
        <f>H9+H12+H15+H18+H21+H24+H27+H30</f>
        <v>17.458052733706197</v>
      </c>
    </row>
    <row r="7" spans="1:8" ht="19.5" customHeight="1" thickBot="1">
      <c r="A7" s="4"/>
      <c r="B7" s="68" t="s">
        <v>97</v>
      </c>
      <c r="C7" s="59">
        <v>14995</v>
      </c>
      <c r="D7" s="360">
        <f>D10+D13+D16+D19+D22+D25+D28+D31</f>
        <v>14463</v>
      </c>
      <c r="E7" s="19">
        <f t="shared" si="0"/>
        <v>-532</v>
      </c>
      <c r="F7" s="79">
        <f t="shared" si="1"/>
        <v>-3.547849283094362</v>
      </c>
      <c r="G7" s="75">
        <v>83.1</v>
      </c>
      <c r="H7" s="377">
        <f>H10+H13+H16+H19+H22+H25+H28+H31</f>
        <v>82.5419472662938</v>
      </c>
    </row>
    <row r="8" spans="1:8" ht="19.5" customHeight="1">
      <c r="A8" s="69" t="s">
        <v>98</v>
      </c>
      <c r="B8" s="70" t="s">
        <v>24</v>
      </c>
      <c r="C8" s="58">
        <v>655</v>
      </c>
      <c r="D8" s="186">
        <f>SUM(D9:D10)</f>
        <v>638</v>
      </c>
      <c r="E8" s="77">
        <f t="shared" si="0"/>
        <v>-17</v>
      </c>
      <c r="F8" s="80">
        <f t="shared" si="1"/>
        <v>-2.5954198473282397</v>
      </c>
      <c r="G8" s="74">
        <v>3.6</v>
      </c>
      <c r="H8" s="237">
        <f>SUM(H9:H10)</f>
        <v>3.641136856523228</v>
      </c>
    </row>
    <row r="9" spans="1:8" ht="19.5" customHeight="1">
      <c r="A9" s="71"/>
      <c r="B9" s="72" t="s">
        <v>96</v>
      </c>
      <c r="C9" s="58">
        <v>72</v>
      </c>
      <c r="D9" s="186">
        <v>64</v>
      </c>
      <c r="E9" s="19">
        <f t="shared" si="0"/>
        <v>-8</v>
      </c>
      <c r="F9" s="79">
        <f t="shared" si="1"/>
        <v>-11.111111111111116</v>
      </c>
      <c r="G9" s="74">
        <v>0.4</v>
      </c>
      <c r="H9" s="237">
        <f>D9/17522*100</f>
        <v>0.3652551078643991</v>
      </c>
    </row>
    <row r="10" spans="1:8" ht="19.5" customHeight="1" thickBot="1">
      <c r="A10" s="4"/>
      <c r="B10" s="68" t="s">
        <v>97</v>
      </c>
      <c r="C10" s="59">
        <v>583</v>
      </c>
      <c r="D10" s="360">
        <v>574</v>
      </c>
      <c r="E10" s="24">
        <f t="shared" si="0"/>
        <v>-9</v>
      </c>
      <c r="F10" s="81">
        <f t="shared" si="1"/>
        <v>-1.543739279588341</v>
      </c>
      <c r="G10" s="75">
        <v>3.2</v>
      </c>
      <c r="H10" s="377">
        <f>D10/17522*100</f>
        <v>3.2758817486588288</v>
      </c>
    </row>
    <row r="11" spans="1:8" ht="19.5" customHeight="1">
      <c r="A11" s="69" t="s">
        <v>99</v>
      </c>
      <c r="B11" s="70" t="s">
        <v>24</v>
      </c>
      <c r="C11" s="58">
        <v>1951</v>
      </c>
      <c r="D11" s="186">
        <f>SUM(D12:D13)</f>
        <v>1891</v>
      </c>
      <c r="E11" s="19">
        <f t="shared" si="0"/>
        <v>-60</v>
      </c>
      <c r="F11" s="79">
        <f t="shared" si="1"/>
        <v>-3.07534597642235</v>
      </c>
      <c r="G11" s="74">
        <v>10.8</v>
      </c>
      <c r="H11" s="237">
        <f>SUM(H12:H13)</f>
        <v>10.792147015180916</v>
      </c>
    </row>
    <row r="12" spans="1:8" ht="19.5" customHeight="1">
      <c r="A12" s="71"/>
      <c r="B12" s="72" t="s">
        <v>96</v>
      </c>
      <c r="C12" s="58">
        <v>316</v>
      </c>
      <c r="D12" s="186">
        <v>316</v>
      </c>
      <c r="E12" s="19">
        <f t="shared" si="0"/>
        <v>0</v>
      </c>
      <c r="F12" s="79">
        <f t="shared" si="1"/>
        <v>0</v>
      </c>
      <c r="G12" s="74">
        <v>1.8</v>
      </c>
      <c r="H12" s="237">
        <f>D12/17522*100</f>
        <v>1.8034470950804702</v>
      </c>
    </row>
    <row r="13" spans="1:8" ht="19.5" customHeight="1" thickBot="1">
      <c r="A13" s="4"/>
      <c r="B13" s="68" t="s">
        <v>97</v>
      </c>
      <c r="C13" s="59">
        <v>1635</v>
      </c>
      <c r="D13" s="360">
        <v>1575</v>
      </c>
      <c r="E13" s="19">
        <f t="shared" si="0"/>
        <v>-60</v>
      </c>
      <c r="F13" s="79">
        <f t="shared" si="1"/>
        <v>-3.669724770642202</v>
      </c>
      <c r="G13" s="75">
        <v>9.1</v>
      </c>
      <c r="H13" s="377">
        <f>D13/17522*100</f>
        <v>8.988699920100446</v>
      </c>
    </row>
    <row r="14" spans="1:8" ht="19.5" customHeight="1">
      <c r="A14" s="69" t="s">
        <v>100</v>
      </c>
      <c r="B14" s="70" t="s">
        <v>24</v>
      </c>
      <c r="C14" s="58">
        <v>1521</v>
      </c>
      <c r="D14" s="186">
        <f>SUM(D15:D16)</f>
        <v>1478</v>
      </c>
      <c r="E14" s="77">
        <f t="shared" si="0"/>
        <v>-43</v>
      </c>
      <c r="F14" s="80">
        <f t="shared" si="1"/>
        <v>-2.827087442472054</v>
      </c>
      <c r="G14" s="74">
        <v>8.4</v>
      </c>
      <c r="H14" s="237">
        <f>SUM(H15:H16)</f>
        <v>8.435110147243465</v>
      </c>
    </row>
    <row r="15" spans="1:8" ht="19.5" customHeight="1">
      <c r="A15" s="71"/>
      <c r="B15" s="72" t="s">
        <v>96</v>
      </c>
      <c r="C15" s="58">
        <v>203</v>
      </c>
      <c r="D15" s="186">
        <v>218</v>
      </c>
      <c r="E15" s="19">
        <f t="shared" si="0"/>
        <v>15</v>
      </c>
      <c r="F15" s="79">
        <f t="shared" si="1"/>
        <v>7.389162561576357</v>
      </c>
      <c r="G15" s="74">
        <v>1.1</v>
      </c>
      <c r="H15" s="237">
        <f>D15/17522*100</f>
        <v>1.244150211163109</v>
      </c>
    </row>
    <row r="16" spans="1:8" ht="19.5" customHeight="1" thickBot="1">
      <c r="A16" s="4"/>
      <c r="B16" s="68" t="s">
        <v>97</v>
      </c>
      <c r="C16" s="59">
        <v>1318</v>
      </c>
      <c r="D16" s="360">
        <v>1260</v>
      </c>
      <c r="E16" s="24">
        <f t="shared" si="0"/>
        <v>-58</v>
      </c>
      <c r="F16" s="81">
        <f t="shared" si="1"/>
        <v>-4.400606980273136</v>
      </c>
      <c r="G16" s="75">
        <v>7.3</v>
      </c>
      <c r="H16" s="377">
        <f>D16/17522*100</f>
        <v>7.190959936080356</v>
      </c>
    </row>
    <row r="17" spans="1:8" ht="19.5" customHeight="1">
      <c r="A17" s="69" t="s">
        <v>101</v>
      </c>
      <c r="B17" s="70" t="s">
        <v>24</v>
      </c>
      <c r="C17" s="58">
        <v>6358</v>
      </c>
      <c r="D17" s="186">
        <f>SUM(D18:D19)</f>
        <v>6240</v>
      </c>
      <c r="E17" s="19">
        <f t="shared" si="0"/>
        <v>-118</v>
      </c>
      <c r="F17" s="79">
        <f t="shared" si="1"/>
        <v>-1.8559295375904394</v>
      </c>
      <c r="G17" s="74">
        <v>35.4</v>
      </c>
      <c r="H17" s="237">
        <f>SUM(H18:H19)</f>
        <v>35.6123730167789</v>
      </c>
    </row>
    <row r="18" spans="1:8" ht="19.5" customHeight="1">
      <c r="A18" s="71"/>
      <c r="B18" s="72" t="s">
        <v>96</v>
      </c>
      <c r="C18" s="58">
        <v>1491</v>
      </c>
      <c r="D18" s="186">
        <v>1497</v>
      </c>
      <c r="E18" s="19">
        <f t="shared" si="0"/>
        <v>6</v>
      </c>
      <c r="F18" s="79">
        <f t="shared" si="1"/>
        <v>0.4024144869215318</v>
      </c>
      <c r="G18" s="74">
        <v>8.3</v>
      </c>
      <c r="H18" s="237">
        <f>D18/17522*100</f>
        <v>8.543545257390708</v>
      </c>
    </row>
    <row r="19" spans="1:8" ht="19.5" customHeight="1" thickBot="1">
      <c r="A19" s="4"/>
      <c r="B19" s="68" t="s">
        <v>97</v>
      </c>
      <c r="C19" s="59">
        <v>4894</v>
      </c>
      <c r="D19" s="360">
        <v>4743</v>
      </c>
      <c r="E19" s="19">
        <f t="shared" si="0"/>
        <v>-151</v>
      </c>
      <c r="F19" s="79">
        <f t="shared" si="1"/>
        <v>-3.0854107069881453</v>
      </c>
      <c r="G19" s="75">
        <v>27.1</v>
      </c>
      <c r="H19" s="377">
        <f>D19/17522*100</f>
        <v>27.0688277593882</v>
      </c>
    </row>
    <row r="20" spans="1:8" ht="19.5" customHeight="1">
      <c r="A20" s="69" t="s">
        <v>102</v>
      </c>
      <c r="B20" s="70" t="s">
        <v>24</v>
      </c>
      <c r="C20" s="58">
        <v>1922</v>
      </c>
      <c r="D20" s="186">
        <f>SUM(D21:D22)</f>
        <v>1825</v>
      </c>
      <c r="E20" s="77">
        <f t="shared" si="0"/>
        <v>-97</v>
      </c>
      <c r="F20" s="80">
        <f t="shared" si="1"/>
        <v>-5.046826222684708</v>
      </c>
      <c r="G20" s="74">
        <v>10.6</v>
      </c>
      <c r="H20" s="237">
        <f>SUM(H21:H22)</f>
        <v>10.415477685195754</v>
      </c>
    </row>
    <row r="21" spans="1:8" ht="19.5" customHeight="1">
      <c r="A21" s="71"/>
      <c r="B21" s="72" t="s">
        <v>96</v>
      </c>
      <c r="C21" s="58">
        <v>229</v>
      </c>
      <c r="D21" s="186">
        <v>231</v>
      </c>
      <c r="E21" s="19">
        <f t="shared" si="0"/>
        <v>2</v>
      </c>
      <c r="F21" s="79">
        <f t="shared" si="1"/>
        <v>0.8733624454148492</v>
      </c>
      <c r="G21" s="74">
        <v>1.3</v>
      </c>
      <c r="H21" s="237">
        <f>D21/17522*100</f>
        <v>1.3183426549480655</v>
      </c>
    </row>
    <row r="22" spans="1:8" ht="19.5" customHeight="1" thickBot="1">
      <c r="A22" s="4"/>
      <c r="B22" s="68" t="s">
        <v>97</v>
      </c>
      <c r="C22" s="59">
        <v>1693</v>
      </c>
      <c r="D22" s="360">
        <v>1594</v>
      </c>
      <c r="E22" s="24">
        <f t="shared" si="0"/>
        <v>-99</v>
      </c>
      <c r="F22" s="81">
        <f t="shared" si="1"/>
        <v>-5.8476077968103946</v>
      </c>
      <c r="G22" s="75">
        <v>9.4</v>
      </c>
      <c r="H22" s="377">
        <f>D22/17522*100</f>
        <v>9.097135030247689</v>
      </c>
    </row>
    <row r="23" spans="1:8" ht="19.5" customHeight="1">
      <c r="A23" s="69" t="s">
        <v>103</v>
      </c>
      <c r="B23" s="70" t="s">
        <v>24</v>
      </c>
      <c r="C23" s="58">
        <v>2431</v>
      </c>
      <c r="D23" s="186">
        <f>SUM(D24:D25)</f>
        <v>2350</v>
      </c>
      <c r="E23" s="19">
        <f t="shared" si="0"/>
        <v>-81</v>
      </c>
      <c r="F23" s="79">
        <f t="shared" si="1"/>
        <v>-3.3319621554915635</v>
      </c>
      <c r="G23" s="74">
        <v>13.5</v>
      </c>
      <c r="H23" s="237">
        <f>SUM(H24:H25)</f>
        <v>13.411710991895902</v>
      </c>
    </row>
    <row r="24" spans="1:8" ht="19.5" customHeight="1">
      <c r="A24" s="71"/>
      <c r="B24" s="72" t="s">
        <v>96</v>
      </c>
      <c r="C24" s="58">
        <v>287</v>
      </c>
      <c r="D24" s="186">
        <v>272</v>
      </c>
      <c r="E24" s="19">
        <f t="shared" si="0"/>
        <v>-15</v>
      </c>
      <c r="F24" s="79">
        <f t="shared" si="1"/>
        <v>-5.226480836236935</v>
      </c>
      <c r="G24" s="74">
        <v>1.6</v>
      </c>
      <c r="H24" s="237">
        <f>D24/17522*100</f>
        <v>1.5523342084236957</v>
      </c>
    </row>
    <row r="25" spans="1:8" ht="19.5" customHeight="1" thickBot="1">
      <c r="A25" s="4"/>
      <c r="B25" s="68" t="s">
        <v>97</v>
      </c>
      <c r="C25" s="59">
        <v>2144</v>
      </c>
      <c r="D25" s="360">
        <v>2078</v>
      </c>
      <c r="E25" s="19">
        <f t="shared" si="0"/>
        <v>-66</v>
      </c>
      <c r="F25" s="79">
        <f t="shared" si="1"/>
        <v>-3.078358208955223</v>
      </c>
      <c r="G25" s="75">
        <v>11.9</v>
      </c>
      <c r="H25" s="377">
        <f>D25/17522*100</f>
        <v>11.859376783472205</v>
      </c>
    </row>
    <row r="26" spans="1:8" ht="19.5" customHeight="1">
      <c r="A26" s="69" t="s">
        <v>104</v>
      </c>
      <c r="B26" s="70" t="s">
        <v>24</v>
      </c>
      <c r="C26" s="58">
        <v>1984</v>
      </c>
      <c r="D26" s="186">
        <f>SUM(D27:D28)</f>
        <v>1914</v>
      </c>
      <c r="E26" s="77">
        <f t="shared" si="0"/>
        <v>-70</v>
      </c>
      <c r="F26" s="80">
        <f t="shared" si="1"/>
        <v>-3.5282258064516125</v>
      </c>
      <c r="G26" s="74">
        <v>11</v>
      </c>
      <c r="H26" s="237">
        <f>SUM(H27:H28)</f>
        <v>10.923410569569684</v>
      </c>
    </row>
    <row r="27" spans="1:8" ht="19.5" customHeight="1">
      <c r="A27" s="71"/>
      <c r="B27" s="72" t="s">
        <v>96</v>
      </c>
      <c r="C27" s="58">
        <v>320</v>
      </c>
      <c r="D27" s="186">
        <v>339</v>
      </c>
      <c r="E27" s="19">
        <f t="shared" si="0"/>
        <v>19</v>
      </c>
      <c r="F27" s="79">
        <f t="shared" si="1"/>
        <v>5.937499999999996</v>
      </c>
      <c r="G27" s="74">
        <v>1.8</v>
      </c>
      <c r="H27" s="237">
        <f>D27/17522*100</f>
        <v>1.9347106494692388</v>
      </c>
    </row>
    <row r="28" spans="1:8" ht="19.5" customHeight="1" thickBot="1">
      <c r="A28" s="4"/>
      <c r="B28" s="68" t="s">
        <v>97</v>
      </c>
      <c r="C28" s="59">
        <v>1664</v>
      </c>
      <c r="D28" s="360">
        <v>1575</v>
      </c>
      <c r="E28" s="24">
        <f t="shared" si="0"/>
        <v>-89</v>
      </c>
      <c r="F28" s="81">
        <f t="shared" si="1"/>
        <v>-5.348557692307687</v>
      </c>
      <c r="G28" s="75">
        <v>9.2</v>
      </c>
      <c r="H28" s="377">
        <f>D28/17522*100</f>
        <v>8.988699920100446</v>
      </c>
    </row>
    <row r="29" spans="1:8" ht="19.5" customHeight="1">
      <c r="A29" s="69" t="s">
        <v>105</v>
      </c>
      <c r="B29" s="70" t="s">
        <v>24</v>
      </c>
      <c r="C29" s="58">
        <v>1198</v>
      </c>
      <c r="D29" s="186">
        <f>SUM(D30:D31)</f>
        <v>1186</v>
      </c>
      <c r="E29" s="77">
        <f t="shared" si="0"/>
        <v>-12</v>
      </c>
      <c r="F29" s="80">
        <f t="shared" si="1"/>
        <v>-1.001669449081799</v>
      </c>
      <c r="G29" s="74">
        <v>6.6</v>
      </c>
      <c r="H29" s="237">
        <f>SUM(H30:H31)</f>
        <v>6.768633717612145</v>
      </c>
    </row>
    <row r="30" spans="1:8" ht="19.5" customHeight="1">
      <c r="A30" s="71"/>
      <c r="B30" s="72" t="s">
        <v>96</v>
      </c>
      <c r="C30" s="58">
        <v>134</v>
      </c>
      <c r="D30" s="186">
        <v>122</v>
      </c>
      <c r="E30" s="19">
        <f t="shared" si="0"/>
        <v>-12</v>
      </c>
      <c r="F30" s="79">
        <f t="shared" si="1"/>
        <v>-8.955223880597018</v>
      </c>
      <c r="G30" s="74">
        <v>0.7</v>
      </c>
      <c r="H30" s="237">
        <f>D30/17522*100</f>
        <v>0.6962675493665107</v>
      </c>
    </row>
    <row r="31" spans="1:8" ht="19.5" customHeight="1" thickBot="1">
      <c r="A31" s="4"/>
      <c r="B31" s="68" t="s">
        <v>97</v>
      </c>
      <c r="C31" s="59">
        <v>1064</v>
      </c>
      <c r="D31" s="360">
        <v>1064</v>
      </c>
      <c r="E31" s="24">
        <f t="shared" si="0"/>
        <v>0</v>
      </c>
      <c r="F31" s="81">
        <f t="shared" si="1"/>
        <v>0</v>
      </c>
      <c r="G31" s="75">
        <v>5.9</v>
      </c>
      <c r="H31" s="377">
        <f>D31/17522*100</f>
        <v>6.072366168245634</v>
      </c>
    </row>
  </sheetData>
  <mergeCells count="2">
    <mergeCell ref="C2:D2"/>
    <mergeCell ref="G2:H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indexed="24"/>
  </sheetPr>
  <dimension ref="A1:H31"/>
  <sheetViews>
    <sheetView zoomScale="75" zoomScaleNormal="75" workbookViewId="0" topLeftCell="A1">
      <selection activeCell="I9" sqref="I9"/>
    </sheetView>
  </sheetViews>
  <sheetFormatPr defaultColWidth="9.00390625" defaultRowHeight="13.5"/>
  <cols>
    <col min="1" max="1" width="11.625" style="0" customWidth="1"/>
    <col min="3" max="4" width="10.625" style="0" customWidth="1"/>
    <col min="5" max="5" width="11.625" style="0" customWidth="1"/>
    <col min="6" max="6" width="9.75390625" style="0" customWidth="1"/>
  </cols>
  <sheetData>
    <row r="1" ht="18.75" customHeight="1" thickBot="1">
      <c r="A1" s="257" t="s">
        <v>249</v>
      </c>
    </row>
    <row r="2" spans="1:8" ht="19.5" customHeight="1" thickBot="1">
      <c r="A2" s="5"/>
      <c r="B2" s="67"/>
      <c r="C2" s="600" t="s">
        <v>71</v>
      </c>
      <c r="D2" s="584"/>
      <c r="E2" s="6" t="s">
        <v>95</v>
      </c>
      <c r="F2" s="15" t="s">
        <v>19</v>
      </c>
      <c r="G2" s="600" t="s">
        <v>31</v>
      </c>
      <c r="H2" s="584"/>
    </row>
    <row r="3" spans="1:8" ht="19.5" customHeight="1" thickBot="1">
      <c r="A3" s="343"/>
      <c r="B3" s="344"/>
      <c r="C3" s="353" t="s">
        <v>48</v>
      </c>
      <c r="D3" s="357" t="s">
        <v>49</v>
      </c>
      <c r="E3" s="354" t="s">
        <v>106</v>
      </c>
      <c r="F3" s="355" t="s">
        <v>107</v>
      </c>
      <c r="G3" s="356" t="s">
        <v>48</v>
      </c>
      <c r="H3" s="375" t="s">
        <v>49</v>
      </c>
    </row>
    <row r="4" spans="1:8" s="162" customFormat="1" ht="19.5" customHeight="1">
      <c r="A4" s="367"/>
      <c r="B4" s="368"/>
      <c r="C4" s="156" t="s">
        <v>72</v>
      </c>
      <c r="D4" s="373" t="s">
        <v>72</v>
      </c>
      <c r="E4" s="156" t="s">
        <v>72</v>
      </c>
      <c r="F4" s="158" t="s">
        <v>191</v>
      </c>
      <c r="G4" s="374" t="s">
        <v>191</v>
      </c>
      <c r="H4" s="381" t="s">
        <v>216</v>
      </c>
    </row>
    <row r="5" spans="1:8" ht="19.5" customHeight="1">
      <c r="A5" s="69" t="s">
        <v>17</v>
      </c>
      <c r="B5" s="70" t="s">
        <v>24</v>
      </c>
      <c r="C5" s="58">
        <v>2714120</v>
      </c>
      <c r="D5" s="186">
        <f>SUM(D6:D7)</f>
        <v>2626084</v>
      </c>
      <c r="E5" s="19">
        <f>D5-C5</f>
        <v>-88036</v>
      </c>
      <c r="F5" s="79">
        <f>(D5/C5-1)*100</f>
        <v>-3.2436296110709972</v>
      </c>
      <c r="G5" s="74">
        <v>100</v>
      </c>
      <c r="H5" s="237">
        <f>H8+H11+H14+H17+H20+H23+H26+H29</f>
        <v>100.00003807952758</v>
      </c>
    </row>
    <row r="6" spans="1:8" ht="19.5" customHeight="1">
      <c r="A6" s="71"/>
      <c r="B6" s="72" t="s">
        <v>96</v>
      </c>
      <c r="C6" s="58">
        <v>1532341</v>
      </c>
      <c r="D6" s="186">
        <f>D9+D12+D15+D18+D21+D24+D27+D30</f>
        <v>1452875</v>
      </c>
      <c r="E6" s="19">
        <f aca="true" t="shared" si="0" ref="E6:E31">D6-C6</f>
        <v>-79466</v>
      </c>
      <c r="F6" s="79">
        <f aca="true" t="shared" si="1" ref="F6:F31">(D6/C6-1)*100</f>
        <v>-5.185921410443239</v>
      </c>
      <c r="G6" s="74">
        <v>56.5</v>
      </c>
      <c r="H6" s="237">
        <f>H9+H12+H15+H18+H21+H24+H27+H30</f>
        <v>55.32479361848045</v>
      </c>
    </row>
    <row r="7" spans="1:8" ht="19.5" customHeight="1" thickBot="1">
      <c r="A7" s="4"/>
      <c r="B7" s="68" t="s">
        <v>97</v>
      </c>
      <c r="C7" s="59">
        <v>1181779</v>
      </c>
      <c r="D7" s="360">
        <f>D10+D13+D16+D19+D22+D25+D28+D31</f>
        <v>1173209</v>
      </c>
      <c r="E7" s="19">
        <f t="shared" si="0"/>
        <v>-8570</v>
      </c>
      <c r="F7" s="79">
        <f t="shared" si="1"/>
        <v>-0.7251778885900007</v>
      </c>
      <c r="G7" s="75">
        <v>43.5</v>
      </c>
      <c r="H7" s="377">
        <f>H10+H13+H16+H19+H22+H25+H28+H31</f>
        <v>44.67524446104712</v>
      </c>
    </row>
    <row r="8" spans="1:8" ht="19.5" customHeight="1">
      <c r="A8" s="69" t="s">
        <v>98</v>
      </c>
      <c r="B8" s="70" t="s">
        <v>24</v>
      </c>
      <c r="C8" s="58">
        <v>52070</v>
      </c>
      <c r="D8" s="186">
        <f>SUM(D9:D10)</f>
        <v>52451</v>
      </c>
      <c r="E8" s="77">
        <f t="shared" si="0"/>
        <v>381</v>
      </c>
      <c r="F8" s="80">
        <f t="shared" si="1"/>
        <v>0.7317073170731714</v>
      </c>
      <c r="G8" s="74">
        <v>1.9</v>
      </c>
      <c r="H8" s="237">
        <f>SUM(H9:H10)</f>
        <v>1.9973093005818934</v>
      </c>
    </row>
    <row r="9" spans="1:8" ht="19.5" customHeight="1">
      <c r="A9" s="71"/>
      <c r="B9" s="72" t="s">
        <v>96</v>
      </c>
      <c r="C9" s="58">
        <v>11899</v>
      </c>
      <c r="D9" s="186">
        <v>10468</v>
      </c>
      <c r="E9" s="19">
        <f t="shared" si="0"/>
        <v>-1431</v>
      </c>
      <c r="F9" s="79">
        <f t="shared" si="1"/>
        <v>-12.026220690814348</v>
      </c>
      <c r="G9" s="74">
        <v>0.4</v>
      </c>
      <c r="H9" s="237">
        <f>D9/2626083*100</f>
        <v>0.39861649460432136</v>
      </c>
    </row>
    <row r="10" spans="1:8" ht="19.5" customHeight="1" thickBot="1">
      <c r="A10" s="4"/>
      <c r="B10" s="68" t="s">
        <v>97</v>
      </c>
      <c r="C10" s="59">
        <v>40171</v>
      </c>
      <c r="D10" s="360">
        <v>41983</v>
      </c>
      <c r="E10" s="24">
        <f t="shared" si="0"/>
        <v>1812</v>
      </c>
      <c r="F10" s="81">
        <f t="shared" si="1"/>
        <v>4.510716686166627</v>
      </c>
      <c r="G10" s="75">
        <v>1.5</v>
      </c>
      <c r="H10" s="377">
        <f>D10/2626083*100</f>
        <v>1.598692805977572</v>
      </c>
    </row>
    <row r="11" spans="1:8" ht="19.5" customHeight="1">
      <c r="A11" s="69" t="s">
        <v>99</v>
      </c>
      <c r="B11" s="70" t="s">
        <v>24</v>
      </c>
      <c r="C11" s="58">
        <v>255473</v>
      </c>
      <c r="D11" s="186">
        <f>SUM(D12:D13)</f>
        <v>241761</v>
      </c>
      <c r="E11" s="19">
        <f t="shared" si="0"/>
        <v>-13712</v>
      </c>
      <c r="F11" s="79">
        <f t="shared" si="1"/>
        <v>-5.367299088357669</v>
      </c>
      <c r="G11" s="74">
        <v>9.4</v>
      </c>
      <c r="H11" s="237">
        <f>SUM(H12:H13)</f>
        <v>9.206144664886828</v>
      </c>
    </row>
    <row r="12" spans="1:8" ht="19.5" customHeight="1">
      <c r="A12" s="71"/>
      <c r="B12" s="72" t="s">
        <v>96</v>
      </c>
      <c r="C12" s="58">
        <v>137950</v>
      </c>
      <c r="D12" s="186">
        <v>118798</v>
      </c>
      <c r="E12" s="19">
        <f t="shared" si="0"/>
        <v>-19152</v>
      </c>
      <c r="F12" s="79">
        <f t="shared" si="1"/>
        <v>-13.883291047480972</v>
      </c>
      <c r="G12" s="74">
        <v>5.1</v>
      </c>
      <c r="H12" s="237">
        <f>D12/2626083*100</f>
        <v>4.523771716278579</v>
      </c>
    </row>
    <row r="13" spans="1:8" ht="19.5" customHeight="1" thickBot="1">
      <c r="A13" s="4"/>
      <c r="B13" s="68" t="s">
        <v>97</v>
      </c>
      <c r="C13" s="59">
        <v>117523</v>
      </c>
      <c r="D13" s="360">
        <v>122963</v>
      </c>
      <c r="E13" s="19">
        <f t="shared" si="0"/>
        <v>5440</v>
      </c>
      <c r="F13" s="79">
        <f t="shared" si="1"/>
        <v>4.628881155178144</v>
      </c>
      <c r="G13" s="75">
        <v>4.3</v>
      </c>
      <c r="H13" s="377">
        <f>D13/2626083*100</f>
        <v>4.682372948608251</v>
      </c>
    </row>
    <row r="14" spans="1:8" ht="19.5" customHeight="1">
      <c r="A14" s="69" t="s">
        <v>100</v>
      </c>
      <c r="B14" s="70" t="s">
        <v>24</v>
      </c>
      <c r="C14" s="58">
        <v>151956</v>
      </c>
      <c r="D14" s="186">
        <f>SUM(D15:D16)</f>
        <v>149087</v>
      </c>
      <c r="E14" s="77">
        <f t="shared" si="0"/>
        <v>-2869</v>
      </c>
      <c r="F14" s="80">
        <f t="shared" si="1"/>
        <v>-1.8880465397878354</v>
      </c>
      <c r="G14" s="74">
        <v>5.6</v>
      </c>
      <c r="H14" s="237">
        <f>SUM(H15:H16)</f>
        <v>5.677162526850827</v>
      </c>
    </row>
    <row r="15" spans="1:8" ht="19.5" customHeight="1">
      <c r="A15" s="71"/>
      <c r="B15" s="72" t="s">
        <v>96</v>
      </c>
      <c r="C15" s="58">
        <v>56861</v>
      </c>
      <c r="D15" s="186">
        <v>58017</v>
      </c>
      <c r="E15" s="19">
        <f t="shared" si="0"/>
        <v>1156</v>
      </c>
      <c r="F15" s="79">
        <f t="shared" si="1"/>
        <v>2.033027910166907</v>
      </c>
      <c r="G15" s="74">
        <v>2.1</v>
      </c>
      <c r="H15" s="237">
        <f>D15/2626083*100</f>
        <v>2.2092599510373434</v>
      </c>
    </row>
    <row r="16" spans="1:8" ht="19.5" customHeight="1" thickBot="1">
      <c r="A16" s="4"/>
      <c r="B16" s="68" t="s">
        <v>97</v>
      </c>
      <c r="C16" s="59">
        <v>95095</v>
      </c>
      <c r="D16" s="360">
        <v>91070</v>
      </c>
      <c r="E16" s="24">
        <f t="shared" si="0"/>
        <v>-4025</v>
      </c>
      <c r="F16" s="81">
        <f t="shared" si="1"/>
        <v>-4.232609495767392</v>
      </c>
      <c r="G16" s="75">
        <v>3.5</v>
      </c>
      <c r="H16" s="377">
        <f>D16/2626083*100</f>
        <v>3.4679025758134836</v>
      </c>
    </row>
    <row r="17" spans="1:8" ht="19.5" customHeight="1">
      <c r="A17" s="69" t="s">
        <v>101</v>
      </c>
      <c r="B17" s="70" t="s">
        <v>24</v>
      </c>
      <c r="C17" s="58">
        <v>1525855</v>
      </c>
      <c r="D17" s="186">
        <f>SUM(D18:D19)</f>
        <v>1473031</v>
      </c>
      <c r="E17" s="19">
        <f t="shared" si="0"/>
        <v>-52824</v>
      </c>
      <c r="F17" s="79">
        <f t="shared" si="1"/>
        <v>-3.4619279027168326</v>
      </c>
      <c r="G17" s="74">
        <v>56.2</v>
      </c>
      <c r="H17" s="237">
        <f>SUM(H18:H19)</f>
        <v>56.09232457618438</v>
      </c>
    </row>
    <row r="18" spans="1:8" ht="19.5" customHeight="1">
      <c r="A18" s="71"/>
      <c r="B18" s="72" t="s">
        <v>96</v>
      </c>
      <c r="C18" s="58">
        <v>1051457</v>
      </c>
      <c r="D18" s="186">
        <v>997919</v>
      </c>
      <c r="E18" s="19">
        <f t="shared" si="0"/>
        <v>-53538</v>
      </c>
      <c r="F18" s="79">
        <f t="shared" si="1"/>
        <v>-5.091791675741375</v>
      </c>
      <c r="G18" s="74">
        <v>38.7</v>
      </c>
      <c r="H18" s="237">
        <f>D18/2626083*100</f>
        <v>38.00028407327567</v>
      </c>
    </row>
    <row r="19" spans="1:8" ht="19.5" customHeight="1" thickBot="1">
      <c r="A19" s="4"/>
      <c r="B19" s="68" t="s">
        <v>97</v>
      </c>
      <c r="C19" s="59">
        <v>474398</v>
      </c>
      <c r="D19" s="360">
        <v>475112</v>
      </c>
      <c r="E19" s="19">
        <f t="shared" si="0"/>
        <v>714</v>
      </c>
      <c r="F19" s="79">
        <f t="shared" si="1"/>
        <v>0.15050653670547476</v>
      </c>
      <c r="G19" s="75">
        <v>17.5</v>
      </c>
      <c r="H19" s="377">
        <f>D19/2626083*100</f>
        <v>18.092040502908706</v>
      </c>
    </row>
    <row r="20" spans="1:8" ht="19.5" customHeight="1">
      <c r="A20" s="69" t="s">
        <v>102</v>
      </c>
      <c r="B20" s="70" t="s">
        <v>24</v>
      </c>
      <c r="C20" s="58">
        <v>171405</v>
      </c>
      <c r="D20" s="186">
        <f>SUM(D21:D22)</f>
        <v>157849</v>
      </c>
      <c r="E20" s="77">
        <f t="shared" si="0"/>
        <v>-13556</v>
      </c>
      <c r="F20" s="80">
        <f t="shared" si="1"/>
        <v>-7.9087541203582195</v>
      </c>
      <c r="G20" s="74">
        <v>6.3</v>
      </c>
      <c r="H20" s="237">
        <f>SUM(H21:H22)</f>
        <v>6.010815347420474</v>
      </c>
    </row>
    <row r="21" spans="1:8" ht="19.5" customHeight="1">
      <c r="A21" s="71"/>
      <c r="B21" s="72" t="s">
        <v>96</v>
      </c>
      <c r="C21" s="58">
        <v>56164</v>
      </c>
      <c r="D21" s="186">
        <v>52110</v>
      </c>
      <c r="E21" s="19">
        <f t="shared" si="0"/>
        <v>-4054</v>
      </c>
      <c r="F21" s="79">
        <f t="shared" si="1"/>
        <v>-7.218146855637064</v>
      </c>
      <c r="G21" s="74">
        <v>2.1</v>
      </c>
      <c r="H21" s="237">
        <f>D21/2626083*100</f>
        <v>1.9843241816804726</v>
      </c>
    </row>
    <row r="22" spans="1:8" ht="19.5" customHeight="1" thickBot="1">
      <c r="A22" s="4"/>
      <c r="B22" s="68" t="s">
        <v>97</v>
      </c>
      <c r="C22" s="59">
        <v>115241</v>
      </c>
      <c r="D22" s="360">
        <v>105739</v>
      </c>
      <c r="E22" s="24">
        <f t="shared" si="0"/>
        <v>-9502</v>
      </c>
      <c r="F22" s="81">
        <f t="shared" si="1"/>
        <v>-8.245329353268371</v>
      </c>
      <c r="G22" s="75">
        <v>4.2</v>
      </c>
      <c r="H22" s="377">
        <f>D22/2626083*100</f>
        <v>4.026491165740001</v>
      </c>
    </row>
    <row r="23" spans="1:8" ht="19.5" customHeight="1">
      <c r="A23" s="69" t="s">
        <v>103</v>
      </c>
      <c r="B23" s="70" t="s">
        <v>24</v>
      </c>
      <c r="C23" s="58">
        <v>226092</v>
      </c>
      <c r="D23" s="186">
        <f>SUM(D24:D25)</f>
        <v>224220</v>
      </c>
      <c r="E23" s="19">
        <f t="shared" si="0"/>
        <v>-1872</v>
      </c>
      <c r="F23" s="79">
        <f t="shared" si="1"/>
        <v>-0.8279815296427961</v>
      </c>
      <c r="G23" s="74">
        <v>8.3</v>
      </c>
      <c r="H23" s="237">
        <f>SUM(H24:H25)</f>
        <v>8.538191671778844</v>
      </c>
    </row>
    <row r="24" spans="1:8" ht="19.5" customHeight="1">
      <c r="A24" s="71"/>
      <c r="B24" s="72" t="s">
        <v>96</v>
      </c>
      <c r="C24" s="58">
        <v>81300</v>
      </c>
      <c r="D24" s="186">
        <v>75861</v>
      </c>
      <c r="E24" s="19">
        <f t="shared" si="0"/>
        <v>-5439</v>
      </c>
      <c r="F24" s="79">
        <f t="shared" si="1"/>
        <v>-6.690036900369001</v>
      </c>
      <c r="G24" s="74">
        <v>3</v>
      </c>
      <c r="H24" s="237">
        <f>D24/2626083*100</f>
        <v>2.8887510409990846</v>
      </c>
    </row>
    <row r="25" spans="1:8" ht="19.5" customHeight="1" thickBot="1">
      <c r="A25" s="4"/>
      <c r="B25" s="68" t="s">
        <v>97</v>
      </c>
      <c r="C25" s="59">
        <v>144792</v>
      </c>
      <c r="D25" s="360">
        <v>148359</v>
      </c>
      <c r="E25" s="19">
        <f t="shared" si="0"/>
        <v>3567</v>
      </c>
      <c r="F25" s="79">
        <f t="shared" si="1"/>
        <v>2.4635338969003717</v>
      </c>
      <c r="G25" s="75">
        <v>5.3</v>
      </c>
      <c r="H25" s="377">
        <f>D25/2626083*100</f>
        <v>5.649440630779758</v>
      </c>
    </row>
    <row r="26" spans="1:8" ht="19.5" customHeight="1">
      <c r="A26" s="69" t="s">
        <v>104</v>
      </c>
      <c r="B26" s="70" t="s">
        <v>24</v>
      </c>
      <c r="C26" s="58">
        <v>237594</v>
      </c>
      <c r="D26" s="186">
        <f>SUM(D27:D28)</f>
        <v>240653</v>
      </c>
      <c r="E26" s="77">
        <f t="shared" si="0"/>
        <v>3059</v>
      </c>
      <c r="F26" s="80">
        <f t="shared" si="1"/>
        <v>1.2874904248423746</v>
      </c>
      <c r="G26" s="74">
        <v>8.8</v>
      </c>
      <c r="H26" s="237">
        <f>SUM(H27:H28)</f>
        <v>9.163952548339104</v>
      </c>
    </row>
    <row r="27" spans="1:8" ht="19.5" customHeight="1">
      <c r="A27" s="71"/>
      <c r="B27" s="72" t="s">
        <v>96</v>
      </c>
      <c r="C27" s="58">
        <v>113409</v>
      </c>
      <c r="D27" s="186">
        <v>118167</v>
      </c>
      <c r="E27" s="19">
        <f t="shared" si="0"/>
        <v>4758</v>
      </c>
      <c r="F27" s="79">
        <f t="shared" si="1"/>
        <v>4.195434224796979</v>
      </c>
      <c r="G27" s="74">
        <v>4.2</v>
      </c>
      <c r="H27" s="237">
        <f>D27/2626083*100</f>
        <v>4.499743534381815</v>
      </c>
    </row>
    <row r="28" spans="1:8" ht="19.5" customHeight="1" thickBot="1">
      <c r="A28" s="4"/>
      <c r="B28" s="68" t="s">
        <v>97</v>
      </c>
      <c r="C28" s="59">
        <v>124185</v>
      </c>
      <c r="D28" s="360">
        <v>122486</v>
      </c>
      <c r="E28" s="24">
        <f t="shared" si="0"/>
        <v>-1699</v>
      </c>
      <c r="F28" s="81">
        <f t="shared" si="1"/>
        <v>-1.3681201433345391</v>
      </c>
      <c r="G28" s="75">
        <v>4.6</v>
      </c>
      <c r="H28" s="377">
        <f>D28/2626083*100</f>
        <v>4.664209013957289</v>
      </c>
    </row>
    <row r="29" spans="1:8" ht="19.5" customHeight="1">
      <c r="A29" s="69" t="s">
        <v>105</v>
      </c>
      <c r="B29" s="70" t="s">
        <v>24</v>
      </c>
      <c r="C29" s="58">
        <v>93674</v>
      </c>
      <c r="D29" s="186">
        <f>SUM(D30:D31)</f>
        <v>87032</v>
      </c>
      <c r="E29" s="77">
        <f t="shared" si="0"/>
        <v>-6642</v>
      </c>
      <c r="F29" s="80">
        <f t="shared" si="1"/>
        <v>-7.090548070969538</v>
      </c>
      <c r="G29" s="74">
        <v>3.5</v>
      </c>
      <c r="H29" s="237">
        <f>SUM(H30:H31)</f>
        <v>3.3141374434852215</v>
      </c>
    </row>
    <row r="30" spans="1:8" ht="19.5" customHeight="1">
      <c r="A30" s="71"/>
      <c r="B30" s="72" t="s">
        <v>96</v>
      </c>
      <c r="C30" s="58">
        <v>23346</v>
      </c>
      <c r="D30" s="186">
        <v>21535</v>
      </c>
      <c r="E30" s="19">
        <f t="shared" si="0"/>
        <v>-1811</v>
      </c>
      <c r="F30" s="79">
        <f t="shared" si="1"/>
        <v>-7.757217510494307</v>
      </c>
      <c r="G30" s="74">
        <v>0.9</v>
      </c>
      <c r="H30" s="237">
        <f>D30/2626083*100</f>
        <v>0.820042626223162</v>
      </c>
    </row>
    <row r="31" spans="1:8" ht="19.5" customHeight="1" thickBot="1">
      <c r="A31" s="4"/>
      <c r="B31" s="68" t="s">
        <v>97</v>
      </c>
      <c r="C31" s="59">
        <v>70328</v>
      </c>
      <c r="D31" s="360">
        <v>65497</v>
      </c>
      <c r="E31" s="24">
        <f t="shared" si="0"/>
        <v>-4831</v>
      </c>
      <c r="F31" s="81">
        <f t="shared" si="1"/>
        <v>-6.869241269480153</v>
      </c>
      <c r="G31" s="75">
        <v>2.6</v>
      </c>
      <c r="H31" s="377">
        <f>D31/2626083*100</f>
        <v>2.4940948172620594</v>
      </c>
    </row>
  </sheetData>
  <mergeCells count="2">
    <mergeCell ref="C2:D2"/>
    <mergeCell ref="G2:H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>
    <tabColor indexed="24"/>
  </sheetPr>
  <dimension ref="A1:H31"/>
  <sheetViews>
    <sheetView zoomScale="75" zoomScaleNormal="75" workbookViewId="0" topLeftCell="A1">
      <selection activeCell="D37" sqref="D37"/>
    </sheetView>
  </sheetViews>
  <sheetFormatPr defaultColWidth="9.00390625" defaultRowHeight="13.5"/>
  <cols>
    <col min="1" max="1" width="11.625" style="0" customWidth="1"/>
    <col min="3" max="4" width="10.625" style="0" customWidth="1"/>
    <col min="5" max="5" width="9.50390625" style="0" customWidth="1"/>
    <col min="6" max="6" width="9.75390625" style="0" customWidth="1"/>
  </cols>
  <sheetData>
    <row r="1" ht="18.75" customHeight="1" thickBot="1">
      <c r="A1" s="257" t="s">
        <v>250</v>
      </c>
    </row>
    <row r="2" spans="1:8" ht="19.5" customHeight="1">
      <c r="A2" s="5"/>
      <c r="B2" s="67"/>
      <c r="C2" s="598" t="s">
        <v>65</v>
      </c>
      <c r="D2" s="599"/>
      <c r="E2" s="85" t="s">
        <v>95</v>
      </c>
      <c r="F2" s="14" t="s">
        <v>19</v>
      </c>
      <c r="G2" s="598" t="s">
        <v>31</v>
      </c>
      <c r="H2" s="599"/>
    </row>
    <row r="3" spans="1:8" ht="19.5" customHeight="1">
      <c r="A3" s="343"/>
      <c r="B3" s="344"/>
      <c r="C3" s="353" t="s">
        <v>48</v>
      </c>
      <c r="D3" s="357" t="s">
        <v>49</v>
      </c>
      <c r="E3" s="354" t="s">
        <v>106</v>
      </c>
      <c r="F3" s="355" t="s">
        <v>107</v>
      </c>
      <c r="G3" s="356" t="s">
        <v>48</v>
      </c>
      <c r="H3" s="375" t="s">
        <v>49</v>
      </c>
    </row>
    <row r="4" spans="1:8" s="162" customFormat="1" ht="19.5" customHeight="1">
      <c r="A4" s="361"/>
      <c r="B4" s="362"/>
      <c r="C4" s="363" t="s">
        <v>60</v>
      </c>
      <c r="D4" s="364" t="s">
        <v>60</v>
      </c>
      <c r="E4" s="363" t="s">
        <v>60</v>
      </c>
      <c r="F4" s="365" t="s">
        <v>163</v>
      </c>
      <c r="G4" s="366" t="s">
        <v>163</v>
      </c>
      <c r="H4" s="378" t="s">
        <v>216</v>
      </c>
    </row>
    <row r="5" spans="1:8" ht="19.5" customHeight="1">
      <c r="A5" s="69" t="s">
        <v>17</v>
      </c>
      <c r="B5" s="70" t="s">
        <v>24</v>
      </c>
      <c r="C5" s="58">
        <v>100238</v>
      </c>
      <c r="D5" s="186">
        <f>SUM(D6:D7)</f>
        <v>98727</v>
      </c>
      <c r="E5" s="19">
        <f>D5-C5</f>
        <v>-1511</v>
      </c>
      <c r="F5" s="79">
        <f>(D5/C5-1)*100</f>
        <v>-1.5074123585865684</v>
      </c>
      <c r="G5" s="74">
        <v>100</v>
      </c>
      <c r="H5" s="237">
        <f>H8+H11+H14+H17+H20+H23+H26+H29</f>
        <v>100</v>
      </c>
    </row>
    <row r="6" spans="1:8" ht="19.5" customHeight="1">
      <c r="A6" s="71"/>
      <c r="B6" s="72" t="s">
        <v>96</v>
      </c>
      <c r="C6" s="58">
        <v>25115</v>
      </c>
      <c r="D6" s="186">
        <f>D9+D12+D15+D18+D21+D24+D27+D30</f>
        <v>23263</v>
      </c>
      <c r="E6" s="19">
        <f aca="true" t="shared" si="0" ref="E6:E31">D6-C6</f>
        <v>-1852</v>
      </c>
      <c r="F6" s="79">
        <f aca="true" t="shared" si="1" ref="F6:F31">(D6/C6-1)*100</f>
        <v>-7.3740792355166285</v>
      </c>
      <c r="G6" s="74">
        <v>25.1</v>
      </c>
      <c r="H6" s="237">
        <f>H9+H12+H15+H18+H21+H24+H27+H30</f>
        <v>23.562956435422933</v>
      </c>
    </row>
    <row r="7" spans="1:8" ht="19.5" customHeight="1">
      <c r="A7" s="71"/>
      <c r="B7" s="72" t="s">
        <v>97</v>
      </c>
      <c r="C7" s="58">
        <v>75123</v>
      </c>
      <c r="D7" s="186">
        <f>D10+D13+D16+D19+D22+D25+D28+D31</f>
        <v>75464</v>
      </c>
      <c r="E7" s="19">
        <f t="shared" si="0"/>
        <v>341</v>
      </c>
      <c r="F7" s="79">
        <f t="shared" si="1"/>
        <v>0.45392223420257505</v>
      </c>
      <c r="G7" s="74">
        <v>74.9</v>
      </c>
      <c r="H7" s="237">
        <f>H10+H13+H16+H19+H22+H25+H28+H31</f>
        <v>76.43704356457707</v>
      </c>
    </row>
    <row r="8" spans="1:8" ht="19.5" customHeight="1">
      <c r="A8" s="345" t="s">
        <v>98</v>
      </c>
      <c r="B8" s="346" t="s">
        <v>24</v>
      </c>
      <c r="C8" s="347">
        <v>3243</v>
      </c>
      <c r="D8" s="358">
        <f>SUM(D9:D10)</f>
        <v>2932</v>
      </c>
      <c r="E8" s="348">
        <f t="shared" si="0"/>
        <v>-311</v>
      </c>
      <c r="F8" s="349">
        <f t="shared" si="1"/>
        <v>-9.589885908109775</v>
      </c>
      <c r="G8" s="106">
        <v>3.2</v>
      </c>
      <c r="H8" s="379">
        <f>SUM(H9:H10)</f>
        <v>2.9698056256140672</v>
      </c>
    </row>
    <row r="9" spans="1:8" ht="19.5" customHeight="1">
      <c r="A9" s="71"/>
      <c r="B9" s="72" t="s">
        <v>96</v>
      </c>
      <c r="C9" s="58">
        <v>470</v>
      </c>
      <c r="D9" s="186">
        <v>355</v>
      </c>
      <c r="E9" s="19">
        <f t="shared" si="0"/>
        <v>-115</v>
      </c>
      <c r="F9" s="79">
        <f t="shared" si="1"/>
        <v>-24.468085106382976</v>
      </c>
      <c r="G9" s="74">
        <v>0.5</v>
      </c>
      <c r="H9" s="237">
        <f>D9/98727*100</f>
        <v>0.3595774205637769</v>
      </c>
    </row>
    <row r="10" spans="1:8" ht="19.5" customHeight="1">
      <c r="A10" s="343"/>
      <c r="B10" s="344" t="s">
        <v>97</v>
      </c>
      <c r="C10" s="350">
        <v>2773</v>
      </c>
      <c r="D10" s="359">
        <v>2577</v>
      </c>
      <c r="E10" s="351">
        <f t="shared" si="0"/>
        <v>-196</v>
      </c>
      <c r="F10" s="352">
        <f t="shared" si="1"/>
        <v>-7.068157230436356</v>
      </c>
      <c r="G10" s="121">
        <v>2.8</v>
      </c>
      <c r="H10" s="380">
        <f>D10/98727*100</f>
        <v>2.6102282050502903</v>
      </c>
    </row>
    <row r="11" spans="1:8" ht="19.5" customHeight="1">
      <c r="A11" s="69" t="s">
        <v>99</v>
      </c>
      <c r="B11" s="70" t="s">
        <v>24</v>
      </c>
      <c r="C11" s="58">
        <v>10238</v>
      </c>
      <c r="D11" s="186">
        <f>SUM(D12:D13)</f>
        <v>10419</v>
      </c>
      <c r="E11" s="19">
        <f t="shared" si="0"/>
        <v>181</v>
      </c>
      <c r="F11" s="79">
        <f t="shared" si="1"/>
        <v>1.7679234225434604</v>
      </c>
      <c r="G11" s="74">
        <v>10.2</v>
      </c>
      <c r="H11" s="237">
        <f>SUM(H12:H13)</f>
        <v>10.553344070011242</v>
      </c>
    </row>
    <row r="12" spans="1:8" ht="19.5" customHeight="1">
      <c r="A12" s="71"/>
      <c r="B12" s="72" t="s">
        <v>96</v>
      </c>
      <c r="C12" s="58">
        <v>2513</v>
      </c>
      <c r="D12" s="186">
        <v>2383</v>
      </c>
      <c r="E12" s="19">
        <f t="shared" si="0"/>
        <v>-130</v>
      </c>
      <c r="F12" s="79">
        <f t="shared" si="1"/>
        <v>-5.173099880620768</v>
      </c>
      <c r="G12" s="74">
        <v>2.5</v>
      </c>
      <c r="H12" s="237">
        <f>D12/98727*100</f>
        <v>2.4137267414182544</v>
      </c>
    </row>
    <row r="13" spans="1:8" ht="19.5" customHeight="1">
      <c r="A13" s="71"/>
      <c r="B13" s="72" t="s">
        <v>97</v>
      </c>
      <c r="C13" s="58">
        <v>7725</v>
      </c>
      <c r="D13" s="186">
        <v>8036</v>
      </c>
      <c r="E13" s="19">
        <f t="shared" si="0"/>
        <v>311</v>
      </c>
      <c r="F13" s="79">
        <f t="shared" si="1"/>
        <v>4.02588996763753</v>
      </c>
      <c r="G13" s="74">
        <v>7.7</v>
      </c>
      <c r="H13" s="237">
        <f>D13/98727*100</f>
        <v>8.139617328592989</v>
      </c>
    </row>
    <row r="14" spans="1:8" ht="19.5" customHeight="1">
      <c r="A14" s="345" t="s">
        <v>100</v>
      </c>
      <c r="B14" s="346" t="s">
        <v>24</v>
      </c>
      <c r="C14" s="347">
        <v>7710</v>
      </c>
      <c r="D14" s="358">
        <f>SUM(D15:D16)</f>
        <v>7385</v>
      </c>
      <c r="E14" s="348">
        <f t="shared" si="0"/>
        <v>-325</v>
      </c>
      <c r="F14" s="349">
        <f t="shared" si="1"/>
        <v>-4.215304798962382</v>
      </c>
      <c r="G14" s="106">
        <v>7.7</v>
      </c>
      <c r="H14" s="379">
        <f>SUM(H15:H16)</f>
        <v>7.480223241868993</v>
      </c>
    </row>
    <row r="15" spans="1:8" ht="19.5" customHeight="1">
      <c r="A15" s="71"/>
      <c r="B15" s="72" t="s">
        <v>96</v>
      </c>
      <c r="C15" s="58">
        <v>1408</v>
      </c>
      <c r="D15" s="186">
        <v>1403</v>
      </c>
      <c r="E15" s="19">
        <f t="shared" si="0"/>
        <v>-5</v>
      </c>
      <c r="F15" s="79">
        <f t="shared" si="1"/>
        <v>-0.35511363636363535</v>
      </c>
      <c r="G15" s="74">
        <v>1.4</v>
      </c>
      <c r="H15" s="237">
        <f>D15/98727*100</f>
        <v>1.4210904818337435</v>
      </c>
    </row>
    <row r="16" spans="1:8" ht="19.5" customHeight="1">
      <c r="A16" s="343"/>
      <c r="B16" s="344" t="s">
        <v>97</v>
      </c>
      <c r="C16" s="350">
        <v>6302</v>
      </c>
      <c r="D16" s="359">
        <v>5982</v>
      </c>
      <c r="E16" s="351">
        <f t="shared" si="0"/>
        <v>-320</v>
      </c>
      <c r="F16" s="352">
        <f t="shared" si="1"/>
        <v>-5.0777530942557885</v>
      </c>
      <c r="G16" s="121">
        <v>6.3</v>
      </c>
      <c r="H16" s="380">
        <f>D16/98727*100</f>
        <v>6.059132760035249</v>
      </c>
    </row>
    <row r="17" spans="1:8" ht="19.5" customHeight="1">
      <c r="A17" s="69" t="s">
        <v>101</v>
      </c>
      <c r="B17" s="70" t="s">
        <v>24</v>
      </c>
      <c r="C17" s="58">
        <v>42995</v>
      </c>
      <c r="D17" s="186">
        <f>SUM(D18:D19)</f>
        <v>41625</v>
      </c>
      <c r="E17" s="19">
        <f t="shared" si="0"/>
        <v>-1370</v>
      </c>
      <c r="F17" s="79">
        <f t="shared" si="1"/>
        <v>-3.1864170252354884</v>
      </c>
      <c r="G17" s="74">
        <v>42.9</v>
      </c>
      <c r="H17" s="237">
        <f>SUM(H18:H19)</f>
        <v>42.16171867878088</v>
      </c>
    </row>
    <row r="18" spans="1:8" ht="19.5" customHeight="1">
      <c r="A18" s="71"/>
      <c r="B18" s="72" t="s">
        <v>96</v>
      </c>
      <c r="C18" s="58">
        <v>14370</v>
      </c>
      <c r="D18" s="186">
        <v>12814</v>
      </c>
      <c r="E18" s="19">
        <f t="shared" si="0"/>
        <v>-1556</v>
      </c>
      <c r="F18" s="79">
        <f t="shared" si="1"/>
        <v>-10.828114126652743</v>
      </c>
      <c r="G18" s="74">
        <v>14.3</v>
      </c>
      <c r="H18" s="237">
        <f>D18/98727*100</f>
        <v>12.979225541138694</v>
      </c>
    </row>
    <row r="19" spans="1:8" ht="19.5" customHeight="1">
      <c r="A19" s="71"/>
      <c r="B19" s="72" t="s">
        <v>97</v>
      </c>
      <c r="C19" s="58">
        <v>28625</v>
      </c>
      <c r="D19" s="186">
        <v>28811</v>
      </c>
      <c r="E19" s="19">
        <f t="shared" si="0"/>
        <v>186</v>
      </c>
      <c r="F19" s="79">
        <f t="shared" si="1"/>
        <v>0.6497816593886485</v>
      </c>
      <c r="G19" s="74">
        <v>28.6</v>
      </c>
      <c r="H19" s="237">
        <f>D19/98727*100</f>
        <v>29.182493137642183</v>
      </c>
    </row>
    <row r="20" spans="1:8" ht="19.5" customHeight="1">
      <c r="A20" s="345" t="s">
        <v>102</v>
      </c>
      <c r="B20" s="346" t="s">
        <v>24</v>
      </c>
      <c r="C20" s="347">
        <v>8850</v>
      </c>
      <c r="D20" s="358">
        <f>SUM(D21:D22)</f>
        <v>8818</v>
      </c>
      <c r="E20" s="348">
        <f t="shared" si="0"/>
        <v>-32</v>
      </c>
      <c r="F20" s="349">
        <f t="shared" si="1"/>
        <v>-0.3615819209039528</v>
      </c>
      <c r="G20" s="106">
        <v>8.8</v>
      </c>
      <c r="H20" s="379">
        <f>SUM(H21:H22)</f>
        <v>8.931700547975732</v>
      </c>
    </row>
    <row r="21" spans="1:8" ht="19.5" customHeight="1">
      <c r="A21" s="71"/>
      <c r="B21" s="72" t="s">
        <v>96</v>
      </c>
      <c r="C21" s="58">
        <v>1330</v>
      </c>
      <c r="D21" s="186">
        <v>1326</v>
      </c>
      <c r="E21" s="19">
        <f t="shared" si="0"/>
        <v>-4</v>
      </c>
      <c r="F21" s="79">
        <f t="shared" si="1"/>
        <v>-0.3007518796992459</v>
      </c>
      <c r="G21" s="74">
        <v>1.3</v>
      </c>
      <c r="H21" s="237">
        <f>D21/98727*100</f>
        <v>1.3430976328663893</v>
      </c>
    </row>
    <row r="22" spans="1:8" ht="19.5" customHeight="1">
      <c r="A22" s="343"/>
      <c r="B22" s="344" t="s">
        <v>97</v>
      </c>
      <c r="C22" s="350">
        <v>7520</v>
      </c>
      <c r="D22" s="359">
        <v>7492</v>
      </c>
      <c r="E22" s="351">
        <f t="shared" si="0"/>
        <v>-28</v>
      </c>
      <c r="F22" s="352">
        <f t="shared" si="1"/>
        <v>-0.37234042553191404</v>
      </c>
      <c r="G22" s="121">
        <v>7.5</v>
      </c>
      <c r="H22" s="380">
        <f>D22/98727*100</f>
        <v>7.588602915109342</v>
      </c>
    </row>
    <row r="23" spans="1:8" ht="19.5" customHeight="1">
      <c r="A23" s="69" t="s">
        <v>103</v>
      </c>
      <c r="B23" s="70" t="s">
        <v>24</v>
      </c>
      <c r="C23" s="58">
        <v>11449</v>
      </c>
      <c r="D23" s="186">
        <f>SUM(D24:D25)</f>
        <v>11667</v>
      </c>
      <c r="E23" s="19">
        <f t="shared" si="0"/>
        <v>218</v>
      </c>
      <c r="F23" s="79">
        <f t="shared" si="1"/>
        <v>1.9040964276356043</v>
      </c>
      <c r="G23" s="74">
        <v>11.4</v>
      </c>
      <c r="H23" s="237">
        <f>SUM(H24:H25)</f>
        <v>11.817435959767845</v>
      </c>
    </row>
    <row r="24" spans="1:8" ht="19.5" customHeight="1">
      <c r="A24" s="71"/>
      <c r="B24" s="72" t="s">
        <v>96</v>
      </c>
      <c r="C24" s="58">
        <v>1810</v>
      </c>
      <c r="D24" s="186">
        <v>1717</v>
      </c>
      <c r="E24" s="19">
        <f t="shared" si="0"/>
        <v>-93</v>
      </c>
      <c r="F24" s="79">
        <f t="shared" si="1"/>
        <v>-5.138121546961328</v>
      </c>
      <c r="G24" s="74">
        <v>1.8</v>
      </c>
      <c r="H24" s="237">
        <f>D24/98727*100</f>
        <v>1.7391392425577603</v>
      </c>
    </row>
    <row r="25" spans="1:8" ht="19.5" customHeight="1">
      <c r="A25" s="71"/>
      <c r="B25" s="72" t="s">
        <v>97</v>
      </c>
      <c r="C25" s="58">
        <v>9639</v>
      </c>
      <c r="D25" s="186">
        <v>9950</v>
      </c>
      <c r="E25" s="19">
        <f t="shared" si="0"/>
        <v>311</v>
      </c>
      <c r="F25" s="79">
        <f t="shared" si="1"/>
        <v>3.2264757754953743</v>
      </c>
      <c r="G25" s="74">
        <v>9.6</v>
      </c>
      <c r="H25" s="237">
        <f>D25/98727*100</f>
        <v>10.078296717210085</v>
      </c>
    </row>
    <row r="26" spans="1:8" ht="19.5" customHeight="1">
      <c r="A26" s="345" t="s">
        <v>104</v>
      </c>
      <c r="B26" s="346" t="s">
        <v>24</v>
      </c>
      <c r="C26" s="347">
        <v>10131</v>
      </c>
      <c r="D26" s="358">
        <f>SUM(D27:D28)</f>
        <v>10291</v>
      </c>
      <c r="E26" s="348">
        <f t="shared" si="0"/>
        <v>160</v>
      </c>
      <c r="F26" s="349">
        <f t="shared" si="1"/>
        <v>1.5793110255651</v>
      </c>
      <c r="G26" s="106">
        <v>10.1</v>
      </c>
      <c r="H26" s="379">
        <f>SUM(H27:H28)</f>
        <v>10.423693619779797</v>
      </c>
    </row>
    <row r="27" spans="1:8" ht="19.5" customHeight="1">
      <c r="A27" s="71"/>
      <c r="B27" s="72" t="s">
        <v>96</v>
      </c>
      <c r="C27" s="58">
        <v>2415</v>
      </c>
      <c r="D27" s="186">
        <v>2509</v>
      </c>
      <c r="E27" s="19">
        <f t="shared" si="0"/>
        <v>94</v>
      </c>
      <c r="F27" s="79">
        <f t="shared" si="1"/>
        <v>3.892339544513468</v>
      </c>
      <c r="G27" s="74">
        <v>2.4</v>
      </c>
      <c r="H27" s="237">
        <f>D27/98727*100</f>
        <v>2.541351403364834</v>
      </c>
    </row>
    <row r="28" spans="1:8" ht="19.5" customHeight="1">
      <c r="A28" s="343"/>
      <c r="B28" s="344" t="s">
        <v>97</v>
      </c>
      <c r="C28" s="350">
        <v>7716</v>
      </c>
      <c r="D28" s="359">
        <v>7782</v>
      </c>
      <c r="E28" s="351">
        <f t="shared" si="0"/>
        <v>66</v>
      </c>
      <c r="F28" s="352">
        <f t="shared" si="1"/>
        <v>0.8553654743390426</v>
      </c>
      <c r="G28" s="121">
        <v>7.7</v>
      </c>
      <c r="H28" s="380">
        <f>D28/98727*100</f>
        <v>7.882342216414963</v>
      </c>
    </row>
    <row r="29" spans="1:8" ht="19.5" customHeight="1">
      <c r="A29" s="69" t="s">
        <v>105</v>
      </c>
      <c r="B29" s="70" t="s">
        <v>24</v>
      </c>
      <c r="C29" s="58">
        <v>5622</v>
      </c>
      <c r="D29" s="186">
        <f>SUM(D30:D31)</f>
        <v>5590</v>
      </c>
      <c r="E29" s="19">
        <f t="shared" si="0"/>
        <v>-32</v>
      </c>
      <c r="F29" s="79">
        <f t="shared" si="1"/>
        <v>-0.5691924581999297</v>
      </c>
      <c r="G29" s="74">
        <v>5.6</v>
      </c>
      <c r="H29" s="237">
        <f>SUM(H30:H31)</f>
        <v>5.662078256201444</v>
      </c>
    </row>
    <row r="30" spans="1:8" ht="19.5" customHeight="1">
      <c r="A30" s="71"/>
      <c r="B30" s="72" t="s">
        <v>96</v>
      </c>
      <c r="C30" s="58">
        <v>844</v>
      </c>
      <c r="D30" s="186">
        <v>756</v>
      </c>
      <c r="E30" s="19">
        <f t="shared" si="0"/>
        <v>-88</v>
      </c>
      <c r="F30" s="79">
        <f t="shared" si="1"/>
        <v>-10.426540284360186</v>
      </c>
      <c r="G30" s="74">
        <v>0.8</v>
      </c>
      <c r="H30" s="237">
        <f>D30/98727*100</f>
        <v>0.7657479716794798</v>
      </c>
    </row>
    <row r="31" spans="1:8" ht="19.5" customHeight="1" thickBot="1">
      <c r="A31" s="4"/>
      <c r="B31" s="68" t="s">
        <v>97</v>
      </c>
      <c r="C31" s="59">
        <v>4778</v>
      </c>
      <c r="D31" s="360">
        <v>4834</v>
      </c>
      <c r="E31" s="24">
        <f t="shared" si="0"/>
        <v>56</v>
      </c>
      <c r="F31" s="81">
        <f t="shared" si="1"/>
        <v>1.1720385098367592</v>
      </c>
      <c r="G31" s="75">
        <v>4.8</v>
      </c>
      <c r="H31" s="377">
        <f>D31/98727*100</f>
        <v>4.896330284521964</v>
      </c>
    </row>
  </sheetData>
  <mergeCells count="2">
    <mergeCell ref="C2:D2"/>
    <mergeCell ref="G2:H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">
    <tabColor indexed="29"/>
  </sheetPr>
  <dimension ref="A1:L51"/>
  <sheetViews>
    <sheetView zoomScale="60" zoomScaleNormal="60" workbookViewId="0" topLeftCell="A1">
      <selection activeCell="M19" sqref="M19:M20"/>
    </sheetView>
  </sheetViews>
  <sheetFormatPr defaultColWidth="9.00390625" defaultRowHeight="13.5"/>
  <cols>
    <col min="1" max="1" width="4.75390625" style="0" customWidth="1"/>
    <col min="2" max="2" width="3.625" style="0" customWidth="1"/>
    <col min="4" max="4" width="14.125" style="0" customWidth="1"/>
    <col min="5" max="6" width="11.125" style="0" customWidth="1"/>
    <col min="7" max="8" width="11.625" style="0" customWidth="1"/>
    <col min="9" max="10" width="11.125" style="0" customWidth="1"/>
    <col min="11" max="11" width="9.875" style="61" bestFit="1" customWidth="1"/>
    <col min="12" max="12" width="9.00390625" style="431" customWidth="1"/>
  </cols>
  <sheetData>
    <row r="1" ht="21">
      <c r="A1" s="478" t="s">
        <v>279</v>
      </c>
    </row>
    <row r="4" spans="2:12" s="128" customFormat="1" ht="17.25">
      <c r="B4" s="468" t="s">
        <v>310</v>
      </c>
      <c r="K4" s="432"/>
      <c r="L4" s="433"/>
    </row>
    <row r="5" spans="2:12" s="128" customFormat="1" ht="17.25">
      <c r="B5" s="468" t="s">
        <v>311</v>
      </c>
      <c r="K5" s="432"/>
      <c r="L5" s="433"/>
    </row>
    <row r="6" spans="2:12" s="128" customFormat="1" ht="17.25">
      <c r="B6" s="468" t="s">
        <v>406</v>
      </c>
      <c r="K6" s="432"/>
      <c r="L6" s="433"/>
    </row>
    <row r="7" spans="11:12" s="128" customFormat="1" ht="17.25">
      <c r="K7" s="432"/>
      <c r="L7" s="433"/>
    </row>
    <row r="8" spans="1:12" s="128" customFormat="1" ht="18.75">
      <c r="A8" s="230" t="s">
        <v>7</v>
      </c>
      <c r="B8" s="137"/>
      <c r="K8" s="432"/>
      <c r="L8" s="433"/>
    </row>
    <row r="9" spans="2:12" s="128" customFormat="1" ht="17.25">
      <c r="B9" s="468" t="s">
        <v>312</v>
      </c>
      <c r="C9" s="468"/>
      <c r="K9" s="432"/>
      <c r="L9" s="433"/>
    </row>
    <row r="10" spans="2:12" s="128" customFormat="1" ht="17.25">
      <c r="B10" s="468" t="s">
        <v>313</v>
      </c>
      <c r="C10" s="468"/>
      <c r="K10" s="432"/>
      <c r="L10" s="433"/>
    </row>
    <row r="11" spans="2:12" s="128" customFormat="1" ht="17.25">
      <c r="B11" s="468" t="s">
        <v>314</v>
      </c>
      <c r="C11" s="468"/>
      <c r="K11" s="432"/>
      <c r="L11" s="433"/>
    </row>
    <row r="12" spans="2:12" s="128" customFormat="1" ht="17.25">
      <c r="B12" s="468" t="s">
        <v>316</v>
      </c>
      <c r="C12" s="468"/>
      <c r="K12" s="432"/>
      <c r="L12" s="433"/>
    </row>
    <row r="13" spans="2:12" s="128" customFormat="1" ht="17.25">
      <c r="B13" s="468" t="s">
        <v>315</v>
      </c>
      <c r="C13" s="468"/>
      <c r="K13" s="432"/>
      <c r="L13" s="433"/>
    </row>
    <row r="14" spans="11:12" s="128" customFormat="1" ht="17.25">
      <c r="K14" s="432"/>
      <c r="L14" s="433"/>
    </row>
    <row r="15" spans="1:12" s="128" customFormat="1" ht="18.75">
      <c r="A15" s="230" t="s">
        <v>11</v>
      </c>
      <c r="K15" s="432"/>
      <c r="L15" s="433"/>
    </row>
    <row r="16" spans="2:12" s="128" customFormat="1" ht="17.25">
      <c r="B16" s="468" t="s">
        <v>317</v>
      </c>
      <c r="K16" s="432"/>
      <c r="L16" s="433"/>
    </row>
    <row r="17" spans="2:12" s="128" customFormat="1" ht="17.25">
      <c r="B17" s="468" t="s">
        <v>318</v>
      </c>
      <c r="K17" s="432"/>
      <c r="L17" s="433"/>
    </row>
    <row r="18" spans="2:12" s="128" customFormat="1" ht="17.25">
      <c r="B18" s="468" t="s">
        <v>319</v>
      </c>
      <c r="K18" s="432"/>
      <c r="L18" s="433"/>
    </row>
    <row r="19" spans="2:12" s="128" customFormat="1" ht="17.25">
      <c r="B19" s="468" t="s">
        <v>320</v>
      </c>
      <c r="K19" s="432"/>
      <c r="L19" s="433"/>
    </row>
    <row r="20" spans="2:12" s="128" customFormat="1" ht="17.25">
      <c r="B20" s="468" t="s">
        <v>321</v>
      </c>
      <c r="K20" s="432"/>
      <c r="L20" s="433"/>
    </row>
    <row r="22" ht="15" thickBot="1">
      <c r="A22" s="96" t="s">
        <v>280</v>
      </c>
    </row>
    <row r="23" spans="1:10" ht="16.5" customHeight="1">
      <c r="A23" s="598" t="s">
        <v>294</v>
      </c>
      <c r="B23" s="636"/>
      <c r="C23" s="599"/>
      <c r="D23" s="589" t="s">
        <v>298</v>
      </c>
      <c r="E23" s="641"/>
      <c r="F23" s="590"/>
      <c r="G23" s="589" t="s">
        <v>303</v>
      </c>
      <c r="H23" s="590"/>
      <c r="I23" s="589" t="s">
        <v>304</v>
      </c>
      <c r="J23" s="590"/>
    </row>
    <row r="24" spans="1:10" ht="16.5" customHeight="1">
      <c r="A24" s="632"/>
      <c r="B24" s="637"/>
      <c r="C24" s="638"/>
      <c r="D24" s="387" t="s">
        <v>18</v>
      </c>
      <c r="E24" s="392" t="s">
        <v>59</v>
      </c>
      <c r="F24" s="386" t="s">
        <v>31</v>
      </c>
      <c r="G24" s="392" t="s">
        <v>59</v>
      </c>
      <c r="H24" s="386" t="s">
        <v>31</v>
      </c>
      <c r="I24" s="387" t="s">
        <v>48</v>
      </c>
      <c r="J24" s="393" t="s">
        <v>49</v>
      </c>
    </row>
    <row r="25" spans="1:10" ht="16.5" customHeight="1">
      <c r="A25" s="634" t="s">
        <v>281</v>
      </c>
      <c r="B25" s="635"/>
      <c r="C25" s="385"/>
      <c r="D25" s="363" t="s">
        <v>32</v>
      </c>
      <c r="E25" s="394" t="s">
        <v>299</v>
      </c>
      <c r="F25" s="395" t="s">
        <v>299</v>
      </c>
      <c r="G25" s="394" t="s">
        <v>299</v>
      </c>
      <c r="H25" s="395" t="s">
        <v>299</v>
      </c>
      <c r="I25" s="394" t="s">
        <v>299</v>
      </c>
      <c r="J25" s="395" t="s">
        <v>299</v>
      </c>
    </row>
    <row r="26" spans="1:11" ht="16.5" customHeight="1">
      <c r="A26" s="639" t="s">
        <v>282</v>
      </c>
      <c r="B26" s="640"/>
      <c r="C26" s="389" t="s">
        <v>295</v>
      </c>
      <c r="D26" s="396">
        <v>1613674</v>
      </c>
      <c r="E26" s="399">
        <v>-3.9</v>
      </c>
      <c r="F26" s="50">
        <v>100</v>
      </c>
      <c r="G26" s="400">
        <v>-2.9</v>
      </c>
      <c r="H26" s="401">
        <v>100</v>
      </c>
      <c r="I26" s="400">
        <v>1.1</v>
      </c>
      <c r="J26" s="401">
        <v>1.1</v>
      </c>
      <c r="K26" s="430"/>
    </row>
    <row r="27" spans="1:11" ht="16.5" customHeight="1">
      <c r="A27" s="639" t="s">
        <v>283</v>
      </c>
      <c r="B27" s="640"/>
      <c r="C27" s="389" t="s">
        <v>96</v>
      </c>
      <c r="D27" s="396">
        <v>375378</v>
      </c>
      <c r="E27" s="399">
        <v>-1.1</v>
      </c>
      <c r="F27" s="50">
        <v>23.3</v>
      </c>
      <c r="G27" s="400">
        <v>0.2</v>
      </c>
      <c r="H27" s="401">
        <v>17.5</v>
      </c>
      <c r="I27" s="400">
        <v>0.8</v>
      </c>
      <c r="J27" s="401">
        <v>0.8</v>
      </c>
      <c r="K27" s="430"/>
    </row>
    <row r="28" spans="1:11" ht="16.5" customHeight="1">
      <c r="A28" s="632" t="s">
        <v>284</v>
      </c>
      <c r="B28" s="633"/>
      <c r="C28" s="389" t="s">
        <v>97</v>
      </c>
      <c r="D28" s="396">
        <v>1238296</v>
      </c>
      <c r="E28" s="402">
        <v>-4.8</v>
      </c>
      <c r="F28" s="403">
        <v>76.6</v>
      </c>
      <c r="G28" s="404">
        <v>-3.5</v>
      </c>
      <c r="H28" s="405">
        <v>82.5</v>
      </c>
      <c r="I28" s="404">
        <v>1.2</v>
      </c>
      <c r="J28" s="405">
        <v>1.2</v>
      </c>
      <c r="K28" s="430"/>
    </row>
    <row r="29" spans="1:10" ht="16.5" customHeight="1">
      <c r="A29" s="634" t="s">
        <v>285</v>
      </c>
      <c r="B29" s="635"/>
      <c r="C29" s="388"/>
      <c r="D29" s="425" t="s">
        <v>60</v>
      </c>
      <c r="E29" s="394" t="s">
        <v>299</v>
      </c>
      <c r="F29" s="395" t="s">
        <v>299</v>
      </c>
      <c r="G29" s="394" t="s">
        <v>299</v>
      </c>
      <c r="H29" s="395" t="s">
        <v>299</v>
      </c>
      <c r="I29" s="394" t="s">
        <v>299</v>
      </c>
      <c r="J29" s="395" t="s">
        <v>299</v>
      </c>
    </row>
    <row r="30" spans="1:11" ht="16.5" customHeight="1">
      <c r="A30" s="639" t="s">
        <v>282</v>
      </c>
      <c r="B30" s="640"/>
      <c r="C30" s="389" t="s">
        <v>296</v>
      </c>
      <c r="D30" s="396">
        <v>11572080</v>
      </c>
      <c r="E30" s="399">
        <v>-3.4</v>
      </c>
      <c r="F30" s="50">
        <v>100</v>
      </c>
      <c r="G30" s="400">
        <v>-1.5</v>
      </c>
      <c r="H30" s="401">
        <v>100</v>
      </c>
      <c r="I30" s="400">
        <v>0.8</v>
      </c>
      <c r="J30" s="401">
        <v>0.9</v>
      </c>
      <c r="K30" s="430"/>
    </row>
    <row r="31" spans="1:11" ht="16.5" customHeight="1">
      <c r="A31" s="639" t="s">
        <v>286</v>
      </c>
      <c r="B31" s="640"/>
      <c r="C31" s="389" t="s">
        <v>96</v>
      </c>
      <c r="D31" s="396">
        <v>3805283</v>
      </c>
      <c r="E31" s="399">
        <v>-4.9</v>
      </c>
      <c r="F31" s="50">
        <v>32.9</v>
      </c>
      <c r="G31" s="400">
        <v>-7.4</v>
      </c>
      <c r="H31" s="401">
        <v>23.6</v>
      </c>
      <c r="I31" s="400">
        <v>0.6</v>
      </c>
      <c r="J31" s="401">
        <v>0.6</v>
      </c>
      <c r="K31" s="430"/>
    </row>
    <row r="32" spans="1:11" ht="16.5" customHeight="1">
      <c r="A32" s="632" t="s">
        <v>284</v>
      </c>
      <c r="B32" s="633"/>
      <c r="C32" s="390" t="s">
        <v>97</v>
      </c>
      <c r="D32" s="397">
        <v>7766797</v>
      </c>
      <c r="E32" s="402">
        <v>-2.6</v>
      </c>
      <c r="F32" s="403">
        <v>67.1</v>
      </c>
      <c r="G32" s="404">
        <v>0.5</v>
      </c>
      <c r="H32" s="405">
        <v>76.4</v>
      </c>
      <c r="I32" s="404">
        <v>0.9</v>
      </c>
      <c r="J32" s="405">
        <v>1</v>
      </c>
      <c r="K32" s="430"/>
    </row>
    <row r="33" spans="1:10" ht="16.5" customHeight="1">
      <c r="A33" s="69" t="s">
        <v>287</v>
      </c>
      <c r="B33" s="1" t="s">
        <v>290</v>
      </c>
      <c r="C33" s="385"/>
      <c r="D33" s="426" t="s">
        <v>72</v>
      </c>
      <c r="E33" s="394" t="s">
        <v>299</v>
      </c>
      <c r="F33" s="395" t="s">
        <v>299</v>
      </c>
      <c r="G33" s="394" t="s">
        <v>299</v>
      </c>
      <c r="H33" s="395" t="s">
        <v>299</v>
      </c>
      <c r="I33" s="394" t="s">
        <v>299</v>
      </c>
      <c r="J33" s="395" t="s">
        <v>299</v>
      </c>
    </row>
    <row r="34" spans="1:11" ht="16.5" customHeight="1">
      <c r="A34" s="69" t="s">
        <v>288</v>
      </c>
      <c r="B34" s="1" t="s">
        <v>291</v>
      </c>
      <c r="C34" s="389" t="s">
        <v>295</v>
      </c>
      <c r="D34" s="396">
        <v>538931583</v>
      </c>
      <c r="E34" s="399">
        <v>-1.7</v>
      </c>
      <c r="F34" s="50">
        <v>100</v>
      </c>
      <c r="G34" s="400">
        <v>-3.2</v>
      </c>
      <c r="H34" s="401">
        <v>100</v>
      </c>
      <c r="I34" s="400">
        <v>0.5</v>
      </c>
      <c r="J34" s="401">
        <v>0.5</v>
      </c>
      <c r="K34" s="430"/>
    </row>
    <row r="35" spans="1:11" ht="16.5" customHeight="1">
      <c r="A35" s="69" t="s">
        <v>289</v>
      </c>
      <c r="B35" s="1" t="s">
        <v>292</v>
      </c>
      <c r="C35" s="389" t="s">
        <v>96</v>
      </c>
      <c r="D35" s="396">
        <v>405646439</v>
      </c>
      <c r="E35" s="399">
        <v>-1.9</v>
      </c>
      <c r="F35" s="50">
        <v>75.3</v>
      </c>
      <c r="G35" s="400">
        <v>-5.2</v>
      </c>
      <c r="H35" s="401">
        <v>55.3</v>
      </c>
      <c r="I35" s="400">
        <v>0.4</v>
      </c>
      <c r="J35" s="401">
        <v>0.4</v>
      </c>
      <c r="K35" s="430"/>
    </row>
    <row r="36" spans="1:11" ht="16.5" customHeight="1" thickBot="1">
      <c r="A36" s="7"/>
      <c r="B36" s="384" t="s">
        <v>293</v>
      </c>
      <c r="C36" s="391" t="s">
        <v>97</v>
      </c>
      <c r="D36" s="398">
        <v>133285144</v>
      </c>
      <c r="E36" s="406">
        <v>-1.4</v>
      </c>
      <c r="F36" s="52">
        <v>24.7</v>
      </c>
      <c r="G36" s="51">
        <v>-0.7</v>
      </c>
      <c r="H36" s="407">
        <v>44.7</v>
      </c>
      <c r="I36" s="51">
        <v>0.9</v>
      </c>
      <c r="J36" s="407">
        <v>0.9</v>
      </c>
      <c r="K36" s="430"/>
    </row>
    <row r="37" spans="1:2" ht="13.5">
      <c r="A37" s="424" t="s">
        <v>300</v>
      </c>
      <c r="B37" s="315" t="s">
        <v>301</v>
      </c>
    </row>
    <row r="39" ht="14.25" thickBot="1">
      <c r="A39" t="s">
        <v>302</v>
      </c>
    </row>
    <row r="40" spans="1:8" ht="16.5" customHeight="1">
      <c r="A40" s="589"/>
      <c r="B40" s="641"/>
      <c r="C40" s="641"/>
      <c r="D40" s="641"/>
      <c r="E40" s="641"/>
      <c r="F40" s="415" t="s">
        <v>297</v>
      </c>
      <c r="G40" s="415" t="s">
        <v>303</v>
      </c>
      <c r="H40" s="383" t="s">
        <v>309</v>
      </c>
    </row>
    <row r="41" spans="1:8" ht="16.5" customHeight="1">
      <c r="A41" s="71"/>
      <c r="B41" s="1"/>
      <c r="C41" s="1"/>
      <c r="D41" s="1"/>
      <c r="E41" s="408"/>
      <c r="F41" s="412" t="s">
        <v>108</v>
      </c>
      <c r="G41" s="413" t="s">
        <v>108</v>
      </c>
      <c r="H41" s="414" t="s">
        <v>308</v>
      </c>
    </row>
    <row r="42" spans="1:8" ht="16.5" customHeight="1">
      <c r="A42" s="71"/>
      <c r="B42" s="1"/>
      <c r="C42" s="1"/>
      <c r="D42" s="1"/>
      <c r="E42" s="409" t="s">
        <v>295</v>
      </c>
      <c r="F42" s="416">
        <v>33404</v>
      </c>
      <c r="G42" s="417">
        <v>14987</v>
      </c>
      <c r="H42" s="422">
        <f>G42/F42*100</f>
        <v>44.86588432523051</v>
      </c>
    </row>
    <row r="43" spans="1:8" ht="16.5" customHeight="1">
      <c r="A43" s="639" t="s">
        <v>307</v>
      </c>
      <c r="B43" s="642"/>
      <c r="C43" s="642"/>
      <c r="D43" s="642"/>
      <c r="E43" s="409" t="s">
        <v>96</v>
      </c>
      <c r="F43" s="416">
        <v>108149</v>
      </c>
      <c r="G43" s="417">
        <v>47495</v>
      </c>
      <c r="H43" s="422">
        <f aca="true" t="shared" si="0" ref="H43:H49">G43/F43*100</f>
        <v>43.91626367326559</v>
      </c>
    </row>
    <row r="44" spans="1:8" ht="16.5" customHeight="1">
      <c r="A44" s="343"/>
      <c r="B44" s="119"/>
      <c r="C44" s="119"/>
      <c r="D44" s="119"/>
      <c r="E44" s="410" t="s">
        <v>97</v>
      </c>
      <c r="F44" s="418">
        <v>10764</v>
      </c>
      <c r="G44" s="419">
        <v>8111</v>
      </c>
      <c r="H44" s="422">
        <f t="shared" si="0"/>
        <v>75.35302861389818</v>
      </c>
    </row>
    <row r="45" spans="1:8" ht="16.5" customHeight="1">
      <c r="A45" s="71"/>
      <c r="B45" s="1"/>
      <c r="C45" s="1"/>
      <c r="D45" s="1"/>
      <c r="E45" s="409" t="s">
        <v>295</v>
      </c>
      <c r="F45" s="416">
        <v>4655</v>
      </c>
      <c r="G45" s="417">
        <v>2599</v>
      </c>
      <c r="H45" s="427">
        <f t="shared" si="0"/>
        <v>55.83243823845328</v>
      </c>
    </row>
    <row r="46" spans="1:8" ht="16.5" customHeight="1">
      <c r="A46" s="71" t="s">
        <v>306</v>
      </c>
      <c r="B46" s="1"/>
      <c r="C46" s="1"/>
      <c r="D46" s="1"/>
      <c r="E46" s="409" t="s">
        <v>96</v>
      </c>
      <c r="F46" s="416">
        <v>10661</v>
      </c>
      <c r="G46" s="417">
        <v>6245</v>
      </c>
      <c r="H46" s="428">
        <f t="shared" si="0"/>
        <v>58.57799455960979</v>
      </c>
    </row>
    <row r="47" spans="1:8" ht="16.5" customHeight="1">
      <c r="A47" s="343"/>
      <c r="B47" s="119"/>
      <c r="C47" s="119"/>
      <c r="D47" s="119"/>
      <c r="E47" s="410" t="s">
        <v>97</v>
      </c>
      <c r="F47" s="418">
        <v>1714</v>
      </c>
      <c r="G47" s="419">
        <v>1554</v>
      </c>
      <c r="H47" s="429">
        <f t="shared" si="0"/>
        <v>90.66511085180863</v>
      </c>
    </row>
    <row r="48" spans="1:8" ht="16.5" customHeight="1">
      <c r="A48" s="71"/>
      <c r="B48" s="1"/>
      <c r="C48" s="1"/>
      <c r="D48" s="1"/>
      <c r="E48" s="408"/>
      <c r="F48" s="416"/>
      <c r="G48" s="417"/>
      <c r="H48" s="422"/>
    </row>
    <row r="49" spans="1:8" ht="16.5" customHeight="1">
      <c r="A49" s="71" t="s">
        <v>305</v>
      </c>
      <c r="B49" s="1"/>
      <c r="C49" s="1"/>
      <c r="D49" s="1"/>
      <c r="E49" s="409" t="s">
        <v>97</v>
      </c>
      <c r="F49" s="416">
        <v>70</v>
      </c>
      <c r="G49" s="417">
        <v>56</v>
      </c>
      <c r="H49" s="422">
        <f t="shared" si="0"/>
        <v>80</v>
      </c>
    </row>
    <row r="50" spans="1:8" ht="16.5" customHeight="1" thickBot="1">
      <c r="A50" s="4"/>
      <c r="B50" s="384"/>
      <c r="C50" s="384"/>
      <c r="D50" s="384"/>
      <c r="E50" s="411"/>
      <c r="F50" s="420"/>
      <c r="G50" s="421"/>
      <c r="H50" s="423"/>
    </row>
    <row r="51" spans="1:2" ht="13.5">
      <c r="A51" s="424" t="s">
        <v>300</v>
      </c>
      <c r="B51" s="315" t="s">
        <v>301</v>
      </c>
    </row>
  </sheetData>
  <mergeCells count="14">
    <mergeCell ref="A40:E40"/>
    <mergeCell ref="A43:D43"/>
    <mergeCell ref="A32:B32"/>
    <mergeCell ref="D23:F23"/>
    <mergeCell ref="A30:B30"/>
    <mergeCell ref="A31:B31"/>
    <mergeCell ref="G23:H23"/>
    <mergeCell ref="I23:J23"/>
    <mergeCell ref="A28:B28"/>
    <mergeCell ref="A29:B29"/>
    <mergeCell ref="A23:C24"/>
    <mergeCell ref="A25:B25"/>
    <mergeCell ref="A26:B26"/>
    <mergeCell ref="A27:B27"/>
  </mergeCells>
  <printOptions/>
  <pageMargins left="0.75" right="0.75" top="1" bottom="1" header="0.512" footer="0.51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9"/>
  </sheetPr>
  <dimension ref="A1:J61"/>
  <sheetViews>
    <sheetView zoomScale="75" zoomScaleNormal="75" workbookViewId="0" topLeftCell="A1">
      <selection activeCell="L32" sqref="L32"/>
    </sheetView>
  </sheetViews>
  <sheetFormatPr defaultColWidth="9.00390625" defaultRowHeight="13.5"/>
  <cols>
    <col min="1" max="1" width="8.875" style="0" bestFit="1" customWidth="1"/>
    <col min="2" max="2" width="8.75390625" style="0" bestFit="1" customWidth="1"/>
    <col min="3" max="3" width="8.25390625" style="0" bestFit="1" customWidth="1"/>
    <col min="4" max="4" width="9.125" style="0" bestFit="1" customWidth="1"/>
    <col min="5" max="7" width="8.625" style="28" customWidth="1"/>
    <col min="8" max="8" width="9.25390625" style="0" bestFit="1" customWidth="1"/>
    <col min="9" max="9" width="9.00390625" style="0" customWidth="1"/>
    <col min="10" max="10" width="9.125" style="0" bestFit="1" customWidth="1"/>
  </cols>
  <sheetData>
    <row r="1" ht="14.25" thickBot="1">
      <c r="A1" t="s">
        <v>412</v>
      </c>
    </row>
    <row r="2" spans="1:10" ht="13.5">
      <c r="A2" s="644" t="s">
        <v>294</v>
      </c>
      <c r="B2" s="647" t="s">
        <v>413</v>
      </c>
      <c r="C2" s="648"/>
      <c r="D2" s="648"/>
      <c r="E2" s="648"/>
      <c r="F2" s="648"/>
      <c r="G2" s="649"/>
      <c r="H2" s="650" t="s">
        <v>414</v>
      </c>
      <c r="I2" s="651"/>
      <c r="J2" s="651"/>
    </row>
    <row r="3" spans="1:10" ht="13.5">
      <c r="A3" s="645"/>
      <c r="B3" s="652" t="s">
        <v>415</v>
      </c>
      <c r="C3" s="653"/>
      <c r="D3" s="654"/>
      <c r="E3" s="655" t="s">
        <v>416</v>
      </c>
      <c r="F3" s="656"/>
      <c r="G3" s="657"/>
      <c r="H3" s="652" t="s">
        <v>415</v>
      </c>
      <c r="I3" s="653"/>
      <c r="J3" s="654"/>
    </row>
    <row r="4" spans="1:10" s="482" customFormat="1" ht="13.5">
      <c r="A4" s="646"/>
      <c r="B4" s="480" t="s">
        <v>417</v>
      </c>
      <c r="C4" s="480" t="s">
        <v>418</v>
      </c>
      <c r="D4" s="480" t="s">
        <v>419</v>
      </c>
      <c r="E4" s="481" t="s">
        <v>417</v>
      </c>
      <c r="F4" s="481" t="s">
        <v>418</v>
      </c>
      <c r="G4" s="481" t="s">
        <v>419</v>
      </c>
      <c r="H4" s="480" t="s">
        <v>417</v>
      </c>
      <c r="I4" s="480" t="s">
        <v>418</v>
      </c>
      <c r="J4" s="480" t="s">
        <v>419</v>
      </c>
    </row>
    <row r="5" spans="1:10" s="1" customFormat="1" ht="12.75" customHeight="1">
      <c r="A5" s="479"/>
      <c r="B5" s="483" t="s">
        <v>32</v>
      </c>
      <c r="C5" s="483" t="s">
        <v>32</v>
      </c>
      <c r="D5" s="483" t="s">
        <v>32</v>
      </c>
      <c r="E5" s="484" t="s">
        <v>420</v>
      </c>
      <c r="F5" s="484" t="s">
        <v>420</v>
      </c>
      <c r="G5" s="484" t="s">
        <v>420</v>
      </c>
      <c r="H5" s="485" t="s">
        <v>60</v>
      </c>
      <c r="I5" s="485" t="s">
        <v>60</v>
      </c>
      <c r="J5" s="485" t="s">
        <v>60</v>
      </c>
    </row>
    <row r="6" spans="1:10" s="1" customFormat="1" ht="13.5">
      <c r="A6" s="486" t="s">
        <v>421</v>
      </c>
      <c r="B6" s="487">
        <v>1613674</v>
      </c>
      <c r="C6" s="488">
        <v>375378</v>
      </c>
      <c r="D6" s="487">
        <v>1238296</v>
      </c>
      <c r="E6" s="489">
        <f>SUM(E8:E54)</f>
        <v>99.99999999999997</v>
      </c>
      <c r="F6" s="489">
        <f>SUM(F8:F54)</f>
        <v>100</v>
      </c>
      <c r="G6" s="489">
        <f>SUM(G8:G54)</f>
        <v>99.99999999999999</v>
      </c>
      <c r="H6" s="488">
        <v>11572080</v>
      </c>
      <c r="I6" s="488">
        <v>3805283</v>
      </c>
      <c r="J6" s="488">
        <v>7766797</v>
      </c>
    </row>
    <row r="7" spans="1:10" ht="9.75" customHeight="1">
      <c r="A7" s="486"/>
      <c r="B7" s="487"/>
      <c r="C7" s="488"/>
      <c r="D7" s="487"/>
      <c r="E7" s="489"/>
      <c r="F7" s="489"/>
      <c r="G7" s="489"/>
      <c r="H7" s="488"/>
      <c r="I7" s="488"/>
      <c r="J7" s="488"/>
    </row>
    <row r="8" spans="1:10" ht="13.5">
      <c r="A8" s="486" t="s">
        <v>422</v>
      </c>
      <c r="B8" s="487">
        <v>64487</v>
      </c>
      <c r="C8" s="488">
        <v>15625</v>
      </c>
      <c r="D8" s="487">
        <v>48862</v>
      </c>
      <c r="E8" s="489">
        <f aca="true" t="shared" si="0" ref="E8:E54">B8/1613674*100</f>
        <v>3.996284255679896</v>
      </c>
      <c r="F8" s="489">
        <f aca="true" t="shared" si="1" ref="F8:F54">C8/375378*100</f>
        <v>4.162470896003495</v>
      </c>
      <c r="G8" s="489">
        <f aca="true" t="shared" si="2" ref="G8:G54">D8/1238296*100</f>
        <v>3.9459063099614307</v>
      </c>
      <c r="H8" s="488">
        <v>502897</v>
      </c>
      <c r="I8" s="488">
        <v>142798</v>
      </c>
      <c r="J8" s="488">
        <v>360099</v>
      </c>
    </row>
    <row r="9" spans="1:10" ht="13.5">
      <c r="A9" s="486" t="s">
        <v>423</v>
      </c>
      <c r="B9" s="487">
        <v>20227</v>
      </c>
      <c r="C9" s="488">
        <v>3829</v>
      </c>
      <c r="D9" s="487">
        <v>16398</v>
      </c>
      <c r="E9" s="489">
        <f t="shared" si="0"/>
        <v>1.2534749893720787</v>
      </c>
      <c r="F9" s="489">
        <f t="shared" si="1"/>
        <v>1.0200384678910326</v>
      </c>
      <c r="G9" s="489">
        <f t="shared" si="2"/>
        <v>1.32423911568801</v>
      </c>
      <c r="H9" s="488">
        <v>125829</v>
      </c>
      <c r="I9" s="488">
        <v>34115</v>
      </c>
      <c r="J9" s="488">
        <v>91714</v>
      </c>
    </row>
    <row r="10" spans="1:10" ht="13.5">
      <c r="A10" s="486" t="s">
        <v>424</v>
      </c>
      <c r="B10" s="487">
        <v>19518</v>
      </c>
      <c r="C10" s="488">
        <v>3488</v>
      </c>
      <c r="D10" s="487">
        <v>16030</v>
      </c>
      <c r="E10" s="489">
        <f t="shared" si="0"/>
        <v>1.2095379859872564</v>
      </c>
      <c r="F10" s="489">
        <f t="shared" si="1"/>
        <v>0.9291967030566521</v>
      </c>
      <c r="G10" s="489">
        <f t="shared" si="2"/>
        <v>1.2945208576947678</v>
      </c>
      <c r="H10" s="488">
        <v>115604</v>
      </c>
      <c r="I10" s="488">
        <v>29393</v>
      </c>
      <c r="J10" s="488">
        <v>86211</v>
      </c>
    </row>
    <row r="11" spans="1:10" ht="13.5">
      <c r="A11" s="486" t="s">
        <v>425</v>
      </c>
      <c r="B11" s="487">
        <v>31717</v>
      </c>
      <c r="C11" s="488">
        <v>8219</v>
      </c>
      <c r="D11" s="487">
        <v>23498</v>
      </c>
      <c r="E11" s="489">
        <f t="shared" si="0"/>
        <v>1.96551471982569</v>
      </c>
      <c r="F11" s="489">
        <f t="shared" si="1"/>
        <v>2.1895262908321746</v>
      </c>
      <c r="G11" s="489">
        <f t="shared" si="2"/>
        <v>1.897607680231544</v>
      </c>
      <c r="H11" s="488">
        <v>228037</v>
      </c>
      <c r="I11" s="488">
        <v>77576</v>
      </c>
      <c r="J11" s="488">
        <v>150461</v>
      </c>
    </row>
    <row r="12" spans="1:10" ht="13.5">
      <c r="A12" s="490" t="s">
        <v>426</v>
      </c>
      <c r="B12" s="491">
        <v>17522</v>
      </c>
      <c r="C12" s="492">
        <v>3059</v>
      </c>
      <c r="D12" s="491">
        <v>14463</v>
      </c>
      <c r="E12" s="493">
        <f t="shared" si="0"/>
        <v>1.0858450963453585</v>
      </c>
      <c r="F12" s="493">
        <f t="shared" si="1"/>
        <v>0.8149119021359803</v>
      </c>
      <c r="G12" s="493">
        <f t="shared" si="2"/>
        <v>1.1679759928159343</v>
      </c>
      <c r="H12" s="492">
        <v>98727</v>
      </c>
      <c r="I12" s="492">
        <v>23263</v>
      </c>
      <c r="J12" s="492">
        <v>75464</v>
      </c>
    </row>
    <row r="13" spans="1:10" ht="13.5">
      <c r="A13" s="486" t="s">
        <v>427</v>
      </c>
      <c r="B13" s="487">
        <v>18568</v>
      </c>
      <c r="C13" s="488">
        <v>3552</v>
      </c>
      <c r="D13" s="487">
        <v>15016</v>
      </c>
      <c r="E13" s="489">
        <f t="shared" si="0"/>
        <v>1.1506661196747299</v>
      </c>
      <c r="F13" s="489">
        <f t="shared" si="1"/>
        <v>0.9462461838466826</v>
      </c>
      <c r="G13" s="489">
        <f t="shared" si="2"/>
        <v>1.2126341359416488</v>
      </c>
      <c r="H13" s="488">
        <v>105380</v>
      </c>
      <c r="I13" s="488">
        <v>27469</v>
      </c>
      <c r="J13" s="488">
        <v>77911</v>
      </c>
    </row>
    <row r="14" spans="1:10" ht="13.5">
      <c r="A14" s="486" t="s">
        <v>428</v>
      </c>
      <c r="B14" s="487">
        <v>28648</v>
      </c>
      <c r="C14" s="488">
        <v>5409</v>
      </c>
      <c r="D14" s="487">
        <v>23239</v>
      </c>
      <c r="E14" s="489">
        <f t="shared" si="0"/>
        <v>1.7753276064434327</v>
      </c>
      <c r="F14" s="489">
        <f t="shared" si="1"/>
        <v>1.440947524894906</v>
      </c>
      <c r="G14" s="489">
        <f t="shared" si="2"/>
        <v>1.8766918410460827</v>
      </c>
      <c r="H14" s="488">
        <v>171561</v>
      </c>
      <c r="I14" s="488">
        <v>42061</v>
      </c>
      <c r="J14" s="488">
        <v>129500</v>
      </c>
    </row>
    <row r="15" spans="1:10" ht="13.5">
      <c r="A15" s="486" t="s">
        <v>429</v>
      </c>
      <c r="B15" s="487">
        <v>34645</v>
      </c>
      <c r="C15" s="488">
        <v>6714</v>
      </c>
      <c r="D15" s="487">
        <v>27931</v>
      </c>
      <c r="E15" s="489">
        <f t="shared" si="0"/>
        <v>2.146964008839456</v>
      </c>
      <c r="F15" s="489">
        <f t="shared" si="1"/>
        <v>1.7885970941291178</v>
      </c>
      <c r="G15" s="489">
        <f t="shared" si="2"/>
        <v>2.255599630459922</v>
      </c>
      <c r="H15" s="488">
        <v>232128</v>
      </c>
      <c r="I15" s="488">
        <v>53397</v>
      </c>
      <c r="J15" s="488">
        <v>178731</v>
      </c>
    </row>
    <row r="16" spans="1:10" ht="13.5">
      <c r="A16" s="486" t="s">
        <v>430</v>
      </c>
      <c r="B16" s="487">
        <v>25764</v>
      </c>
      <c r="C16" s="488">
        <v>5550</v>
      </c>
      <c r="D16" s="487">
        <v>20214</v>
      </c>
      <c r="E16" s="489">
        <f t="shared" si="0"/>
        <v>1.5966050143957207</v>
      </c>
      <c r="F16" s="489">
        <f t="shared" si="1"/>
        <v>1.4785096622604414</v>
      </c>
      <c r="G16" s="489">
        <f t="shared" si="2"/>
        <v>1.6324045300961967</v>
      </c>
      <c r="H16" s="488">
        <v>165506</v>
      </c>
      <c r="I16" s="488">
        <v>44405</v>
      </c>
      <c r="J16" s="488">
        <v>121101</v>
      </c>
    </row>
    <row r="17" spans="1:10" ht="13.5">
      <c r="A17" s="486" t="s">
        <v>431</v>
      </c>
      <c r="B17" s="487">
        <v>26925</v>
      </c>
      <c r="C17" s="488">
        <v>5334</v>
      </c>
      <c r="D17" s="487">
        <v>21591</v>
      </c>
      <c r="E17" s="489">
        <f t="shared" si="0"/>
        <v>1.6685526320681872</v>
      </c>
      <c r="F17" s="489">
        <f t="shared" si="1"/>
        <v>1.4209676645940892</v>
      </c>
      <c r="G17" s="489">
        <f t="shared" si="2"/>
        <v>1.7436057291633018</v>
      </c>
      <c r="H17" s="488">
        <v>173891</v>
      </c>
      <c r="I17" s="488">
        <v>44890</v>
      </c>
      <c r="J17" s="488">
        <v>129001</v>
      </c>
    </row>
    <row r="18" spans="1:10" ht="13.5">
      <c r="A18" s="486" t="s">
        <v>432</v>
      </c>
      <c r="B18" s="487">
        <v>58113</v>
      </c>
      <c r="C18" s="488">
        <v>12580</v>
      </c>
      <c r="D18" s="487">
        <v>45533</v>
      </c>
      <c r="E18" s="489">
        <f t="shared" si="0"/>
        <v>3.601285017915638</v>
      </c>
      <c r="F18" s="489">
        <f t="shared" si="1"/>
        <v>3.3512885677903337</v>
      </c>
      <c r="G18" s="489">
        <f t="shared" si="2"/>
        <v>3.677069133712779</v>
      </c>
      <c r="H18" s="488">
        <v>462503</v>
      </c>
      <c r="I18" s="488">
        <v>114401</v>
      </c>
      <c r="J18" s="488">
        <v>348102</v>
      </c>
    </row>
    <row r="19" spans="1:10" ht="13.5">
      <c r="A19" s="486" t="s">
        <v>433</v>
      </c>
      <c r="B19" s="487">
        <v>52605</v>
      </c>
      <c r="C19" s="488">
        <v>9713</v>
      </c>
      <c r="D19" s="487">
        <v>42892</v>
      </c>
      <c r="E19" s="489">
        <f t="shared" si="0"/>
        <v>3.2599521340741684</v>
      </c>
      <c r="F19" s="489">
        <f t="shared" si="1"/>
        <v>2.587525108024445</v>
      </c>
      <c r="G19" s="489">
        <f t="shared" si="2"/>
        <v>3.463792178929755</v>
      </c>
      <c r="H19" s="488">
        <v>419091</v>
      </c>
      <c r="I19" s="488">
        <v>86725</v>
      </c>
      <c r="J19" s="488">
        <v>332366</v>
      </c>
    </row>
    <row r="20" spans="1:10" ht="13.5">
      <c r="A20" s="486" t="s">
        <v>434</v>
      </c>
      <c r="B20" s="487">
        <v>171206</v>
      </c>
      <c r="C20" s="488">
        <v>56961</v>
      </c>
      <c r="D20" s="487">
        <v>114245</v>
      </c>
      <c r="E20" s="489">
        <f t="shared" si="0"/>
        <v>10.609701835686762</v>
      </c>
      <c r="F20" s="489">
        <f t="shared" si="1"/>
        <v>15.174304301264327</v>
      </c>
      <c r="G20" s="489">
        <f t="shared" si="2"/>
        <v>9.22598474032057</v>
      </c>
      <c r="H20" s="488">
        <v>1669139</v>
      </c>
      <c r="I20" s="488">
        <v>864244</v>
      </c>
      <c r="J20" s="488">
        <v>804895</v>
      </c>
    </row>
    <row r="21" spans="1:10" ht="13.5">
      <c r="A21" s="486" t="s">
        <v>435</v>
      </c>
      <c r="B21" s="487">
        <v>74566</v>
      </c>
      <c r="C21" s="488">
        <v>14771</v>
      </c>
      <c r="D21" s="487">
        <v>59795</v>
      </c>
      <c r="E21" s="489">
        <f t="shared" si="0"/>
        <v>4.6208837720630065</v>
      </c>
      <c r="F21" s="489">
        <f t="shared" si="1"/>
        <v>3.934966886711528</v>
      </c>
      <c r="G21" s="489">
        <f t="shared" si="2"/>
        <v>4.828813143222622</v>
      </c>
      <c r="H21" s="488">
        <v>622325</v>
      </c>
      <c r="I21" s="488">
        <v>147409</v>
      </c>
      <c r="J21" s="488">
        <v>474916</v>
      </c>
    </row>
    <row r="22" spans="1:10" ht="13.5">
      <c r="A22" s="486" t="s">
        <v>436</v>
      </c>
      <c r="B22" s="487">
        <v>36513</v>
      </c>
      <c r="C22" s="488">
        <v>7940</v>
      </c>
      <c r="D22" s="487">
        <v>28573</v>
      </c>
      <c r="E22" s="489">
        <f t="shared" si="0"/>
        <v>2.2627246891255606</v>
      </c>
      <c r="F22" s="489">
        <f t="shared" si="1"/>
        <v>2.115201210513136</v>
      </c>
      <c r="G22" s="489">
        <f t="shared" si="2"/>
        <v>2.307445069676394</v>
      </c>
      <c r="H22" s="488">
        <v>223859</v>
      </c>
      <c r="I22" s="488">
        <v>70237</v>
      </c>
      <c r="J22" s="488">
        <v>153622</v>
      </c>
    </row>
    <row r="23" spans="1:10" ht="13.5">
      <c r="A23" s="486" t="s">
        <v>437</v>
      </c>
      <c r="B23" s="487">
        <v>17998</v>
      </c>
      <c r="C23" s="488">
        <v>3592</v>
      </c>
      <c r="D23" s="487">
        <v>14406</v>
      </c>
      <c r="E23" s="489">
        <f t="shared" si="0"/>
        <v>1.115342999887214</v>
      </c>
      <c r="F23" s="489">
        <f t="shared" si="1"/>
        <v>0.9569021093404515</v>
      </c>
      <c r="G23" s="489">
        <f t="shared" si="2"/>
        <v>1.1633728930724156</v>
      </c>
      <c r="H23" s="488">
        <v>103472</v>
      </c>
      <c r="I23" s="488">
        <v>30091</v>
      </c>
      <c r="J23" s="488">
        <v>73381</v>
      </c>
    </row>
    <row r="24" spans="1:10" ht="13.5">
      <c r="A24" s="486" t="s">
        <v>438</v>
      </c>
      <c r="B24" s="487">
        <v>18090</v>
      </c>
      <c r="C24" s="488">
        <v>4430</v>
      </c>
      <c r="D24" s="487">
        <v>13660</v>
      </c>
      <c r="E24" s="489">
        <f t="shared" si="0"/>
        <v>1.12104427536169</v>
      </c>
      <c r="F24" s="489">
        <f t="shared" si="1"/>
        <v>1.1801437484349109</v>
      </c>
      <c r="G24" s="489">
        <f t="shared" si="2"/>
        <v>1.103128815727419</v>
      </c>
      <c r="H24" s="488">
        <v>115036</v>
      </c>
      <c r="I24" s="488">
        <v>37844</v>
      </c>
      <c r="J24" s="488">
        <v>77192</v>
      </c>
    </row>
    <row r="25" spans="1:10" ht="13.5">
      <c r="A25" s="486" t="s">
        <v>439</v>
      </c>
      <c r="B25" s="487">
        <v>13298</v>
      </c>
      <c r="C25" s="488">
        <v>2942</v>
      </c>
      <c r="D25" s="487">
        <v>10356</v>
      </c>
      <c r="E25" s="489">
        <f t="shared" si="0"/>
        <v>0.8240821876041877</v>
      </c>
      <c r="F25" s="489">
        <f t="shared" si="1"/>
        <v>0.7837433200667061</v>
      </c>
      <c r="G25" s="489">
        <f t="shared" si="2"/>
        <v>0.8363105428750477</v>
      </c>
      <c r="H25" s="488">
        <v>76946</v>
      </c>
      <c r="I25" s="488">
        <v>23169</v>
      </c>
      <c r="J25" s="488">
        <v>53777</v>
      </c>
    </row>
    <row r="26" spans="1:10" ht="13.5">
      <c r="A26" s="486" t="s">
        <v>440</v>
      </c>
      <c r="B26" s="487">
        <v>12362</v>
      </c>
      <c r="C26" s="488">
        <v>2393</v>
      </c>
      <c r="D26" s="487">
        <v>9969</v>
      </c>
      <c r="E26" s="489">
        <f t="shared" si="0"/>
        <v>0.766077906689951</v>
      </c>
      <c r="F26" s="489">
        <f t="shared" si="1"/>
        <v>0.6374907426647273</v>
      </c>
      <c r="G26" s="489">
        <f t="shared" si="2"/>
        <v>0.8050579183006324</v>
      </c>
      <c r="H26" s="488">
        <v>72039</v>
      </c>
      <c r="I26" s="488">
        <v>18462</v>
      </c>
      <c r="J26" s="488">
        <v>53577</v>
      </c>
    </row>
    <row r="27" spans="1:10" ht="13.5">
      <c r="A27" s="486" t="s">
        <v>441</v>
      </c>
      <c r="B27" s="487">
        <v>29545</v>
      </c>
      <c r="C27" s="488">
        <v>5847</v>
      </c>
      <c r="D27" s="487">
        <v>23698</v>
      </c>
      <c r="E27" s="489">
        <f t="shared" si="0"/>
        <v>1.8309150423195764</v>
      </c>
      <c r="F27" s="489">
        <f t="shared" si="1"/>
        <v>1.5576299090516759</v>
      </c>
      <c r="G27" s="489">
        <f t="shared" si="2"/>
        <v>1.9137589074017844</v>
      </c>
      <c r="H27" s="488">
        <v>187422</v>
      </c>
      <c r="I27" s="488">
        <v>48548</v>
      </c>
      <c r="J27" s="488">
        <v>138874</v>
      </c>
    </row>
    <row r="28" spans="1:10" ht="13.5">
      <c r="A28" s="486" t="s">
        <v>442</v>
      </c>
      <c r="B28" s="487">
        <v>29234</v>
      </c>
      <c r="C28" s="488">
        <v>6887</v>
      </c>
      <c r="D28" s="487">
        <v>22347</v>
      </c>
      <c r="E28" s="489">
        <f t="shared" si="0"/>
        <v>1.811642252400423</v>
      </c>
      <c r="F28" s="489">
        <f t="shared" si="1"/>
        <v>1.8346839718896686</v>
      </c>
      <c r="G28" s="489">
        <f t="shared" si="2"/>
        <v>1.8046573678668105</v>
      </c>
      <c r="H28" s="488">
        <v>182554</v>
      </c>
      <c r="I28" s="488">
        <v>54079</v>
      </c>
      <c r="J28" s="488">
        <v>128475</v>
      </c>
    </row>
    <row r="29" spans="1:10" ht="13.5">
      <c r="A29" s="486" t="s">
        <v>443</v>
      </c>
      <c r="B29" s="487">
        <v>51135</v>
      </c>
      <c r="C29" s="488">
        <v>11571</v>
      </c>
      <c r="D29" s="487">
        <v>39564</v>
      </c>
      <c r="E29" s="489">
        <f t="shared" si="0"/>
        <v>3.168855667253733</v>
      </c>
      <c r="F29" s="489">
        <f t="shared" si="1"/>
        <v>3.0824928472100126</v>
      </c>
      <c r="G29" s="489">
        <f t="shared" si="2"/>
        <v>3.1950357588169545</v>
      </c>
      <c r="H29" s="488">
        <v>324945</v>
      </c>
      <c r="I29" s="488">
        <v>94531</v>
      </c>
      <c r="J29" s="488">
        <v>230414</v>
      </c>
    </row>
    <row r="30" spans="1:10" ht="13.5">
      <c r="A30" s="486" t="s">
        <v>444</v>
      </c>
      <c r="B30" s="487">
        <v>86945</v>
      </c>
      <c r="C30" s="488">
        <v>25555</v>
      </c>
      <c r="D30" s="487">
        <v>61390</v>
      </c>
      <c r="E30" s="489">
        <f t="shared" si="0"/>
        <v>5.388015175308023</v>
      </c>
      <c r="F30" s="489">
        <f t="shared" si="1"/>
        <v>6.807804399831636</v>
      </c>
      <c r="G30" s="489">
        <f t="shared" si="2"/>
        <v>4.957619179905289</v>
      </c>
      <c r="H30" s="488">
        <v>698965</v>
      </c>
      <c r="I30" s="488">
        <v>267447</v>
      </c>
      <c r="J30" s="488">
        <v>431518</v>
      </c>
    </row>
    <row r="31" spans="1:10" ht="13.5">
      <c r="A31" s="486" t="s">
        <v>445</v>
      </c>
      <c r="B31" s="487">
        <v>23266</v>
      </c>
      <c r="C31" s="488">
        <v>4379</v>
      </c>
      <c r="D31" s="487">
        <v>18887</v>
      </c>
      <c r="E31" s="489">
        <f t="shared" si="0"/>
        <v>1.4418029911865717</v>
      </c>
      <c r="F31" s="489">
        <f t="shared" si="1"/>
        <v>1.1665574434303554</v>
      </c>
      <c r="G31" s="489">
        <f t="shared" si="2"/>
        <v>1.5252411378216517</v>
      </c>
      <c r="H31" s="488">
        <v>146694</v>
      </c>
      <c r="I31" s="488">
        <v>33679</v>
      </c>
      <c r="J31" s="488">
        <v>113015</v>
      </c>
    </row>
    <row r="32" spans="1:10" ht="13.5">
      <c r="A32" s="486" t="s">
        <v>446</v>
      </c>
      <c r="B32" s="487">
        <v>15314</v>
      </c>
      <c r="C32" s="488">
        <v>2635</v>
      </c>
      <c r="D32" s="487">
        <v>12679</v>
      </c>
      <c r="E32" s="489">
        <f t="shared" si="0"/>
        <v>0.9490144849579283</v>
      </c>
      <c r="F32" s="489">
        <f t="shared" si="1"/>
        <v>0.7019590919020294</v>
      </c>
      <c r="G32" s="489">
        <f t="shared" si="2"/>
        <v>1.0239070464573898</v>
      </c>
      <c r="H32" s="488">
        <v>105954</v>
      </c>
      <c r="I32" s="488">
        <v>20237</v>
      </c>
      <c r="J32" s="488">
        <v>85717</v>
      </c>
    </row>
    <row r="33" spans="1:10" ht="13.5">
      <c r="A33" s="486" t="s">
        <v>447</v>
      </c>
      <c r="B33" s="487">
        <v>37387</v>
      </c>
      <c r="C33" s="488">
        <v>8467</v>
      </c>
      <c r="D33" s="487">
        <v>28920</v>
      </c>
      <c r="E33" s="489">
        <f t="shared" si="0"/>
        <v>2.3168868061330854</v>
      </c>
      <c r="F33" s="489">
        <f t="shared" si="1"/>
        <v>2.255593028893542</v>
      </c>
      <c r="G33" s="489">
        <f t="shared" si="2"/>
        <v>2.335467448816761</v>
      </c>
      <c r="H33" s="488">
        <v>254766</v>
      </c>
      <c r="I33" s="488">
        <v>76473</v>
      </c>
      <c r="J33" s="488">
        <v>178293</v>
      </c>
    </row>
    <row r="34" spans="1:10" ht="13.5">
      <c r="A34" s="486" t="s">
        <v>448</v>
      </c>
      <c r="B34" s="487">
        <v>120357</v>
      </c>
      <c r="C34" s="488">
        <v>38047</v>
      </c>
      <c r="D34" s="487">
        <v>82310</v>
      </c>
      <c r="E34" s="489">
        <f t="shared" si="0"/>
        <v>7.458569698712379</v>
      </c>
      <c r="F34" s="489">
        <f t="shared" si="1"/>
        <v>10.135649931535678</v>
      </c>
      <c r="G34" s="489">
        <f t="shared" si="2"/>
        <v>6.647037541912434</v>
      </c>
      <c r="H34" s="488">
        <v>976957</v>
      </c>
      <c r="I34" s="488">
        <v>451726</v>
      </c>
      <c r="J34" s="488">
        <v>525231</v>
      </c>
    </row>
    <row r="35" spans="1:10" ht="13.5">
      <c r="A35" s="486" t="s">
        <v>449</v>
      </c>
      <c r="B35" s="487">
        <v>66265</v>
      </c>
      <c r="C35" s="488">
        <v>12834</v>
      </c>
      <c r="D35" s="487">
        <v>53431</v>
      </c>
      <c r="E35" s="489">
        <f t="shared" si="0"/>
        <v>4.106467601262709</v>
      </c>
      <c r="F35" s="489">
        <f t="shared" si="1"/>
        <v>3.4189536946757664</v>
      </c>
      <c r="G35" s="489">
        <f t="shared" si="2"/>
        <v>4.314881094665573</v>
      </c>
      <c r="H35" s="488">
        <v>445928</v>
      </c>
      <c r="I35" s="488">
        <v>112273</v>
      </c>
      <c r="J35" s="488">
        <v>333655</v>
      </c>
    </row>
    <row r="36" spans="1:10" ht="13.5">
      <c r="A36" s="486" t="s">
        <v>450</v>
      </c>
      <c r="B36" s="487">
        <v>14512</v>
      </c>
      <c r="C36" s="488">
        <v>1973</v>
      </c>
      <c r="D36" s="487">
        <v>12539</v>
      </c>
      <c r="E36" s="489">
        <f t="shared" si="0"/>
        <v>0.8993142357130375</v>
      </c>
      <c r="F36" s="489">
        <f t="shared" si="1"/>
        <v>0.5256035249801534</v>
      </c>
      <c r="G36" s="489">
        <f t="shared" si="2"/>
        <v>1.0126011874382215</v>
      </c>
      <c r="H36" s="488">
        <v>97510</v>
      </c>
      <c r="I36" s="488">
        <v>16004</v>
      </c>
      <c r="J36" s="488">
        <v>81506</v>
      </c>
    </row>
    <row r="37" spans="1:10" ht="13.5">
      <c r="A37" s="486" t="s">
        <v>451</v>
      </c>
      <c r="B37" s="487">
        <v>16738</v>
      </c>
      <c r="C37" s="488">
        <v>2875</v>
      </c>
      <c r="D37" s="487">
        <v>13863</v>
      </c>
      <c r="E37" s="489">
        <f t="shared" si="0"/>
        <v>1.037260314041126</v>
      </c>
      <c r="F37" s="489">
        <f t="shared" si="1"/>
        <v>0.7658946448646431</v>
      </c>
      <c r="G37" s="489">
        <f t="shared" si="2"/>
        <v>1.1195223113052128</v>
      </c>
      <c r="H37" s="488">
        <v>84810</v>
      </c>
      <c r="I37" s="488">
        <v>20707</v>
      </c>
      <c r="J37" s="488">
        <v>64103</v>
      </c>
    </row>
    <row r="38" spans="1:10" ht="13.5">
      <c r="A38" s="486" t="s">
        <v>452</v>
      </c>
      <c r="B38" s="487">
        <v>8485</v>
      </c>
      <c r="C38" s="488">
        <v>1610</v>
      </c>
      <c r="D38" s="487">
        <v>6875</v>
      </c>
      <c r="E38" s="489">
        <f t="shared" si="0"/>
        <v>0.5258187217492505</v>
      </c>
      <c r="F38" s="489">
        <f t="shared" si="1"/>
        <v>0.42890100112420015</v>
      </c>
      <c r="G38" s="489">
        <f t="shared" si="2"/>
        <v>0.5551984339770136</v>
      </c>
      <c r="H38" s="488">
        <v>51913</v>
      </c>
      <c r="I38" s="488">
        <v>14464</v>
      </c>
      <c r="J38" s="488">
        <v>37449</v>
      </c>
    </row>
    <row r="39" spans="1:10" ht="13.5">
      <c r="A39" s="486" t="s">
        <v>453</v>
      </c>
      <c r="B39" s="487">
        <v>12090</v>
      </c>
      <c r="C39" s="488">
        <v>2160</v>
      </c>
      <c r="D39" s="487">
        <v>9930</v>
      </c>
      <c r="E39" s="489">
        <f t="shared" si="0"/>
        <v>0.7492219618088908</v>
      </c>
      <c r="F39" s="489">
        <f t="shared" si="1"/>
        <v>0.5754199766635232</v>
      </c>
      <c r="G39" s="489">
        <f t="shared" si="2"/>
        <v>0.8019084290024356</v>
      </c>
      <c r="H39" s="488">
        <v>64437</v>
      </c>
      <c r="I39" s="488">
        <v>16679</v>
      </c>
      <c r="J39" s="488">
        <v>47758</v>
      </c>
    </row>
    <row r="40" spans="1:10" ht="13.5">
      <c r="A40" s="486" t="s">
        <v>454</v>
      </c>
      <c r="B40" s="487">
        <v>25469</v>
      </c>
      <c r="C40" s="488">
        <v>5134</v>
      </c>
      <c r="D40" s="487">
        <v>20335</v>
      </c>
      <c r="E40" s="489">
        <f t="shared" si="0"/>
        <v>1.5783237506460415</v>
      </c>
      <c r="F40" s="489">
        <f t="shared" si="1"/>
        <v>1.3676880371252444</v>
      </c>
      <c r="G40" s="489">
        <f t="shared" si="2"/>
        <v>1.6421760225341924</v>
      </c>
      <c r="H40" s="488">
        <v>166478</v>
      </c>
      <c r="I40" s="488">
        <v>47083</v>
      </c>
      <c r="J40" s="488">
        <v>119395</v>
      </c>
    </row>
    <row r="41" spans="1:10" ht="13.5">
      <c r="A41" s="486" t="s">
        <v>455</v>
      </c>
      <c r="B41" s="487">
        <v>39272</v>
      </c>
      <c r="C41" s="488">
        <v>9663</v>
      </c>
      <c r="D41" s="487">
        <v>29609</v>
      </c>
      <c r="E41" s="489">
        <f t="shared" si="0"/>
        <v>2.433700982974256</v>
      </c>
      <c r="F41" s="489">
        <f t="shared" si="1"/>
        <v>2.5742052011572336</v>
      </c>
      <c r="G41" s="489">
        <f t="shared" si="2"/>
        <v>2.3911084264182394</v>
      </c>
      <c r="H41" s="488">
        <v>278134</v>
      </c>
      <c r="I41" s="488">
        <v>93468</v>
      </c>
      <c r="J41" s="488">
        <v>184666</v>
      </c>
    </row>
    <row r="42" spans="1:10" ht="13.5">
      <c r="A42" s="486" t="s">
        <v>456</v>
      </c>
      <c r="B42" s="487">
        <v>22160</v>
      </c>
      <c r="C42" s="488">
        <v>4096</v>
      </c>
      <c r="D42" s="487">
        <v>18064</v>
      </c>
      <c r="E42" s="489">
        <f t="shared" si="0"/>
        <v>1.3732637447216725</v>
      </c>
      <c r="F42" s="489">
        <f t="shared" si="1"/>
        <v>1.0911667705619403</v>
      </c>
      <c r="G42" s="489">
        <f t="shared" si="2"/>
        <v>1.4587788380161124</v>
      </c>
      <c r="H42" s="488">
        <v>131277</v>
      </c>
      <c r="I42" s="488">
        <v>32210</v>
      </c>
      <c r="J42" s="488">
        <v>99067</v>
      </c>
    </row>
    <row r="43" spans="1:10" ht="13.5">
      <c r="A43" s="486" t="s">
        <v>457</v>
      </c>
      <c r="B43" s="487">
        <v>12515</v>
      </c>
      <c r="C43" s="488">
        <v>2209</v>
      </c>
      <c r="D43" s="487">
        <v>10306</v>
      </c>
      <c r="E43" s="489">
        <f t="shared" si="0"/>
        <v>0.7755593756855474</v>
      </c>
      <c r="F43" s="489">
        <f t="shared" si="1"/>
        <v>0.5884734853933901</v>
      </c>
      <c r="G43" s="489">
        <f t="shared" si="2"/>
        <v>0.8322727360824875</v>
      </c>
      <c r="H43" s="488">
        <v>67520</v>
      </c>
      <c r="I43" s="488">
        <v>18402</v>
      </c>
      <c r="J43" s="488">
        <v>49118</v>
      </c>
    </row>
    <row r="44" spans="1:10" ht="13.5">
      <c r="A44" s="486" t="s">
        <v>458</v>
      </c>
      <c r="B44" s="487">
        <v>15363</v>
      </c>
      <c r="C44" s="488">
        <v>3884</v>
      </c>
      <c r="D44" s="487">
        <v>11479</v>
      </c>
      <c r="E44" s="489">
        <f t="shared" si="0"/>
        <v>0.9520510338519429</v>
      </c>
      <c r="F44" s="489">
        <f t="shared" si="1"/>
        <v>1.0346903654449648</v>
      </c>
      <c r="G44" s="489">
        <f t="shared" si="2"/>
        <v>0.9269996834359475</v>
      </c>
      <c r="H44" s="488">
        <v>98588</v>
      </c>
      <c r="I44" s="488">
        <v>33624</v>
      </c>
      <c r="J44" s="488">
        <v>64964</v>
      </c>
    </row>
    <row r="45" spans="1:10" ht="13.5">
      <c r="A45" s="486" t="s">
        <v>459</v>
      </c>
      <c r="B45" s="487">
        <v>22051</v>
      </c>
      <c r="C45" s="488">
        <v>4601</v>
      </c>
      <c r="D45" s="487">
        <v>17450</v>
      </c>
      <c r="E45" s="489">
        <f t="shared" si="0"/>
        <v>1.36650897269213</v>
      </c>
      <c r="F45" s="489">
        <f t="shared" si="1"/>
        <v>1.2256978299207733</v>
      </c>
      <c r="G45" s="489">
        <f t="shared" si="2"/>
        <v>1.4091945706034745</v>
      </c>
      <c r="H45" s="488">
        <v>128711</v>
      </c>
      <c r="I45" s="488">
        <v>37403</v>
      </c>
      <c r="J45" s="488">
        <v>91308</v>
      </c>
    </row>
    <row r="46" spans="1:10" ht="13.5">
      <c r="A46" s="486" t="s">
        <v>460</v>
      </c>
      <c r="B46" s="487">
        <v>12542</v>
      </c>
      <c r="C46" s="488">
        <v>2192</v>
      </c>
      <c r="D46" s="487">
        <v>10350</v>
      </c>
      <c r="E46" s="489">
        <f t="shared" si="0"/>
        <v>0.777232576096535</v>
      </c>
      <c r="F46" s="489">
        <f t="shared" si="1"/>
        <v>0.5839447170585382</v>
      </c>
      <c r="G46" s="489">
        <f t="shared" si="2"/>
        <v>0.8358260060599405</v>
      </c>
      <c r="H46" s="488">
        <v>70344</v>
      </c>
      <c r="I46" s="488">
        <v>17918</v>
      </c>
      <c r="J46" s="488">
        <v>52426</v>
      </c>
    </row>
    <row r="47" spans="1:10" ht="13.5">
      <c r="A47" s="486" t="s">
        <v>461</v>
      </c>
      <c r="B47" s="487">
        <v>69410</v>
      </c>
      <c r="C47" s="488">
        <v>16718</v>
      </c>
      <c r="D47" s="487">
        <v>52692</v>
      </c>
      <c r="E47" s="489">
        <f t="shared" si="0"/>
        <v>4.301364463949968</v>
      </c>
      <c r="F47" s="489">
        <f t="shared" si="1"/>
        <v>4.453644060120732</v>
      </c>
      <c r="G47" s="489">
        <f t="shared" si="2"/>
        <v>4.255202310271534</v>
      </c>
      <c r="H47" s="488">
        <v>499131</v>
      </c>
      <c r="I47" s="488">
        <v>172744</v>
      </c>
      <c r="J47" s="488">
        <v>326387</v>
      </c>
    </row>
    <row r="48" spans="1:10" ht="13.5">
      <c r="A48" s="486" t="s">
        <v>462</v>
      </c>
      <c r="B48" s="487">
        <v>12657</v>
      </c>
      <c r="C48" s="488">
        <v>2316</v>
      </c>
      <c r="D48" s="487">
        <v>10341</v>
      </c>
      <c r="E48" s="489">
        <f t="shared" si="0"/>
        <v>0.7843591704396304</v>
      </c>
      <c r="F48" s="489">
        <f t="shared" si="1"/>
        <v>0.6169780860892221</v>
      </c>
      <c r="G48" s="489">
        <f t="shared" si="2"/>
        <v>0.8350992008372795</v>
      </c>
      <c r="H48" s="488">
        <v>72943</v>
      </c>
      <c r="I48" s="488">
        <v>17911</v>
      </c>
      <c r="J48" s="488">
        <v>55032</v>
      </c>
    </row>
    <row r="49" spans="1:10" ht="13.5">
      <c r="A49" s="486" t="s">
        <v>463</v>
      </c>
      <c r="B49" s="487">
        <v>22633</v>
      </c>
      <c r="C49" s="488">
        <v>4183</v>
      </c>
      <c r="D49" s="487">
        <v>18450</v>
      </c>
      <c r="E49" s="489">
        <f t="shared" si="0"/>
        <v>1.4025757371067515</v>
      </c>
      <c r="F49" s="489">
        <f t="shared" si="1"/>
        <v>1.1143434085108876</v>
      </c>
      <c r="G49" s="489">
        <f t="shared" si="2"/>
        <v>1.4899507064546764</v>
      </c>
      <c r="H49" s="488">
        <v>128414</v>
      </c>
      <c r="I49" s="488">
        <v>33887</v>
      </c>
      <c r="J49" s="488">
        <v>94527</v>
      </c>
    </row>
    <row r="50" spans="1:10" ht="13.5">
      <c r="A50" s="486" t="s">
        <v>464</v>
      </c>
      <c r="B50" s="487">
        <v>25273</v>
      </c>
      <c r="C50" s="488">
        <v>4738</v>
      </c>
      <c r="D50" s="487">
        <v>20535</v>
      </c>
      <c r="E50" s="489">
        <f t="shared" si="0"/>
        <v>1.5661775550699832</v>
      </c>
      <c r="F50" s="489">
        <f t="shared" si="1"/>
        <v>1.262194374736932</v>
      </c>
      <c r="G50" s="489">
        <f t="shared" si="2"/>
        <v>1.6583272497044326</v>
      </c>
      <c r="H50" s="488">
        <v>160835</v>
      </c>
      <c r="I50" s="488">
        <v>40967</v>
      </c>
      <c r="J50" s="488">
        <v>119868</v>
      </c>
    </row>
    <row r="51" spans="1:10" ht="13.5">
      <c r="A51" s="486" t="s">
        <v>465</v>
      </c>
      <c r="B51" s="487">
        <v>17985</v>
      </c>
      <c r="C51" s="488">
        <v>3472</v>
      </c>
      <c r="D51" s="487">
        <v>14513</v>
      </c>
      <c r="E51" s="489">
        <f t="shared" si="0"/>
        <v>1.1145373848745161</v>
      </c>
      <c r="F51" s="489">
        <f t="shared" si="1"/>
        <v>0.9249343328591446</v>
      </c>
      <c r="G51" s="489">
        <f t="shared" si="2"/>
        <v>1.1720137996084943</v>
      </c>
      <c r="H51" s="488">
        <v>104619</v>
      </c>
      <c r="I51" s="488">
        <v>26108</v>
      </c>
      <c r="J51" s="488">
        <v>78511</v>
      </c>
    </row>
    <row r="52" spans="1:10" ht="13.5">
      <c r="A52" s="486" t="s">
        <v>466</v>
      </c>
      <c r="B52" s="487">
        <v>16795</v>
      </c>
      <c r="C52" s="488">
        <v>3250</v>
      </c>
      <c r="D52" s="487">
        <v>13545</v>
      </c>
      <c r="E52" s="489">
        <f t="shared" si="0"/>
        <v>1.0407926260198774</v>
      </c>
      <c r="F52" s="489">
        <f t="shared" si="1"/>
        <v>0.8657939463687269</v>
      </c>
      <c r="G52" s="489">
        <f t="shared" si="2"/>
        <v>1.0938418601045308</v>
      </c>
      <c r="H52" s="488">
        <v>100532</v>
      </c>
      <c r="I52" s="488">
        <v>25821</v>
      </c>
      <c r="J52" s="488">
        <v>74711</v>
      </c>
    </row>
    <row r="53" spans="1:10" ht="13.5">
      <c r="A53" s="486" t="s">
        <v>467</v>
      </c>
      <c r="B53" s="487">
        <v>26180</v>
      </c>
      <c r="C53" s="488">
        <v>4681</v>
      </c>
      <c r="D53" s="487">
        <v>21499</v>
      </c>
      <c r="E53" s="489">
        <f t="shared" si="0"/>
        <v>1.6223846948020482</v>
      </c>
      <c r="F53" s="489">
        <f t="shared" si="1"/>
        <v>1.247009680908311</v>
      </c>
      <c r="G53" s="489">
        <f t="shared" si="2"/>
        <v>1.7361761646649914</v>
      </c>
      <c r="H53" s="488">
        <v>146464</v>
      </c>
      <c r="I53" s="488">
        <v>38359</v>
      </c>
      <c r="J53" s="488">
        <v>108105</v>
      </c>
    </row>
    <row r="54" spans="1:10" ht="14.25" thickBot="1">
      <c r="A54" s="494" t="s">
        <v>468</v>
      </c>
      <c r="B54" s="495">
        <v>19324</v>
      </c>
      <c r="C54" s="496">
        <v>3300</v>
      </c>
      <c r="D54" s="495">
        <v>16024</v>
      </c>
      <c r="E54" s="497">
        <f t="shared" si="0"/>
        <v>1.1975157311823825</v>
      </c>
      <c r="F54" s="497">
        <f t="shared" si="1"/>
        <v>0.879113853235938</v>
      </c>
      <c r="G54" s="497">
        <f t="shared" si="2"/>
        <v>1.2940363208796606</v>
      </c>
      <c r="H54" s="496">
        <v>111265</v>
      </c>
      <c r="I54" s="496">
        <v>30582</v>
      </c>
      <c r="J54" s="496">
        <v>80683</v>
      </c>
    </row>
    <row r="55" spans="1:10" ht="15" customHeight="1">
      <c r="A55" s="643" t="s">
        <v>469</v>
      </c>
      <c r="B55" s="643"/>
      <c r="C55" s="643"/>
      <c r="D55" s="643"/>
      <c r="E55" s="643"/>
      <c r="F55" s="643"/>
      <c r="G55" s="643"/>
      <c r="H55" s="643"/>
      <c r="I55" s="643"/>
      <c r="J55" s="643"/>
    </row>
    <row r="61" ht="13.5">
      <c r="H61" s="498"/>
    </row>
  </sheetData>
  <mergeCells count="7">
    <mergeCell ref="A55:J55"/>
    <mergeCell ref="A2:A4"/>
    <mergeCell ref="B2:G2"/>
    <mergeCell ref="H2:J2"/>
    <mergeCell ref="B3:D3"/>
    <mergeCell ref="E3:G3"/>
    <mergeCell ref="H3:J3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9"/>
  </sheetPr>
  <dimension ref="A1:S61"/>
  <sheetViews>
    <sheetView zoomScale="75" zoomScaleNormal="75" workbookViewId="0" topLeftCell="K1">
      <selection activeCell="T35" sqref="T35"/>
    </sheetView>
  </sheetViews>
  <sheetFormatPr defaultColWidth="9.00390625" defaultRowHeight="13.5"/>
  <cols>
    <col min="1" max="1" width="8.875" style="0" hidden="1" customWidth="1"/>
    <col min="2" max="2" width="8.75390625" style="0" hidden="1" customWidth="1"/>
    <col min="3" max="3" width="8.25390625" style="0" hidden="1" customWidth="1"/>
    <col min="4" max="4" width="9.125" style="0" hidden="1" customWidth="1"/>
    <col min="5" max="7" width="8.625" style="28" hidden="1" customWidth="1"/>
    <col min="8" max="8" width="9.25390625" style="0" hidden="1" customWidth="1"/>
    <col min="9" max="9" width="9.00390625" style="0" hidden="1" customWidth="1"/>
    <col min="10" max="10" width="9.125" style="0" hidden="1" customWidth="1"/>
    <col min="11" max="13" width="8.625" style="28" customWidth="1"/>
    <col min="14" max="14" width="12.00390625" style="0" customWidth="1"/>
    <col min="15" max="15" width="11.875" style="0" customWidth="1"/>
    <col min="16" max="16" width="12.00390625" style="0" customWidth="1"/>
    <col min="17" max="19" width="8.625" style="28" customWidth="1"/>
  </cols>
  <sheetData>
    <row r="1" ht="14.25" thickBot="1">
      <c r="A1" t="s">
        <v>412</v>
      </c>
    </row>
    <row r="2" spans="1:19" ht="13.5">
      <c r="A2" s="644" t="s">
        <v>294</v>
      </c>
      <c r="B2" s="647" t="s">
        <v>413</v>
      </c>
      <c r="C2" s="648"/>
      <c r="D2" s="648"/>
      <c r="E2" s="648"/>
      <c r="F2" s="648"/>
      <c r="G2" s="649"/>
      <c r="H2" s="650" t="s">
        <v>414</v>
      </c>
      <c r="I2" s="651"/>
      <c r="J2" s="651"/>
      <c r="K2" s="651"/>
      <c r="L2" s="651"/>
      <c r="M2" s="660"/>
      <c r="N2" s="647" t="s">
        <v>470</v>
      </c>
      <c r="O2" s="648"/>
      <c r="P2" s="648"/>
      <c r="Q2" s="648"/>
      <c r="R2" s="648"/>
      <c r="S2" s="658"/>
    </row>
    <row r="3" spans="1:19" ht="13.5">
      <c r="A3" s="645"/>
      <c r="B3" s="652" t="s">
        <v>415</v>
      </c>
      <c r="C3" s="653"/>
      <c r="D3" s="654"/>
      <c r="E3" s="655" t="s">
        <v>416</v>
      </c>
      <c r="F3" s="656"/>
      <c r="G3" s="657"/>
      <c r="H3" s="652" t="s">
        <v>415</v>
      </c>
      <c r="I3" s="653"/>
      <c r="J3" s="654"/>
      <c r="K3" s="652" t="s">
        <v>416</v>
      </c>
      <c r="L3" s="653"/>
      <c r="M3" s="654"/>
      <c r="N3" s="652" t="s">
        <v>415</v>
      </c>
      <c r="O3" s="653"/>
      <c r="P3" s="654"/>
      <c r="Q3" s="655" t="s">
        <v>416</v>
      </c>
      <c r="R3" s="656"/>
      <c r="S3" s="659"/>
    </row>
    <row r="4" spans="1:19" s="482" customFormat="1" ht="13.5">
      <c r="A4" s="646"/>
      <c r="B4" s="480" t="s">
        <v>417</v>
      </c>
      <c r="C4" s="480" t="s">
        <v>418</v>
      </c>
      <c r="D4" s="480" t="s">
        <v>419</v>
      </c>
      <c r="E4" s="481" t="s">
        <v>417</v>
      </c>
      <c r="F4" s="481" t="s">
        <v>418</v>
      </c>
      <c r="G4" s="481" t="s">
        <v>419</v>
      </c>
      <c r="H4" s="480" t="s">
        <v>417</v>
      </c>
      <c r="I4" s="480" t="s">
        <v>418</v>
      </c>
      <c r="J4" s="480" t="s">
        <v>419</v>
      </c>
      <c r="K4" s="481" t="s">
        <v>417</v>
      </c>
      <c r="L4" s="481" t="s">
        <v>418</v>
      </c>
      <c r="M4" s="481" t="s">
        <v>419</v>
      </c>
      <c r="N4" s="480" t="s">
        <v>417</v>
      </c>
      <c r="O4" s="480" t="s">
        <v>418</v>
      </c>
      <c r="P4" s="480" t="s">
        <v>419</v>
      </c>
      <c r="Q4" s="481" t="s">
        <v>417</v>
      </c>
      <c r="R4" s="481" t="s">
        <v>418</v>
      </c>
      <c r="S4" s="499" t="s">
        <v>419</v>
      </c>
    </row>
    <row r="5" spans="1:19" s="1" customFormat="1" ht="12.75" customHeight="1">
      <c r="A5" s="479"/>
      <c r="B5" s="483" t="s">
        <v>32</v>
      </c>
      <c r="C5" s="483" t="s">
        <v>32</v>
      </c>
      <c r="D5" s="483" t="s">
        <v>32</v>
      </c>
      <c r="E5" s="484" t="s">
        <v>420</v>
      </c>
      <c r="F5" s="484" t="s">
        <v>420</v>
      </c>
      <c r="G5" s="484" t="s">
        <v>420</v>
      </c>
      <c r="H5" s="485" t="s">
        <v>60</v>
      </c>
      <c r="I5" s="485" t="s">
        <v>60</v>
      </c>
      <c r="J5" s="485" t="s">
        <v>60</v>
      </c>
      <c r="K5" s="484" t="s">
        <v>347</v>
      </c>
      <c r="L5" s="484" t="s">
        <v>347</v>
      </c>
      <c r="M5" s="484" t="s">
        <v>347</v>
      </c>
      <c r="N5" s="485" t="s">
        <v>72</v>
      </c>
      <c r="O5" s="485" t="s">
        <v>72</v>
      </c>
      <c r="P5" s="485" t="s">
        <v>72</v>
      </c>
      <c r="Q5" s="484" t="s">
        <v>73</v>
      </c>
      <c r="R5" s="484" t="s">
        <v>73</v>
      </c>
      <c r="S5" s="500" t="s">
        <v>73</v>
      </c>
    </row>
    <row r="6" spans="1:19" s="1" customFormat="1" ht="13.5">
      <c r="A6" s="486" t="s">
        <v>421</v>
      </c>
      <c r="B6" s="487">
        <v>1613674</v>
      </c>
      <c r="C6" s="488">
        <v>375378</v>
      </c>
      <c r="D6" s="487">
        <v>1238296</v>
      </c>
      <c r="E6" s="489">
        <f>SUM(E8:E54)</f>
        <v>99.99999999999997</v>
      </c>
      <c r="F6" s="489">
        <f>SUM(F8:F54)</f>
        <v>100</v>
      </c>
      <c r="G6" s="489">
        <f>SUM(G8:G54)</f>
        <v>99.99999999999999</v>
      </c>
      <c r="H6" s="488">
        <v>11572080</v>
      </c>
      <c r="I6" s="488">
        <v>3805283</v>
      </c>
      <c r="J6" s="488">
        <v>7766797</v>
      </c>
      <c r="K6" s="501">
        <f>SUM(K8:K54)</f>
        <v>100.00000000000003</v>
      </c>
      <c r="L6" s="489">
        <f>SUM(L8:L54)</f>
        <v>100</v>
      </c>
      <c r="M6" s="489">
        <f>SUM(M8:M54)</f>
        <v>100</v>
      </c>
      <c r="N6" s="488">
        <v>538931582.96</v>
      </c>
      <c r="O6" s="488">
        <v>405646438.64</v>
      </c>
      <c r="P6" s="488">
        <v>133285144.32</v>
      </c>
      <c r="Q6" s="489">
        <f>SUM(Q8:Q54)</f>
        <v>99.99999999257793</v>
      </c>
      <c r="R6" s="489">
        <f>SUM(R8:R54)</f>
        <v>99.99999991125273</v>
      </c>
      <c r="S6" s="502">
        <f>SUM(S8:S54)</f>
        <v>100.00000024008678</v>
      </c>
    </row>
    <row r="7" spans="1:19" ht="9.75" customHeight="1">
      <c r="A7" s="486"/>
      <c r="B7" s="487"/>
      <c r="C7" s="488"/>
      <c r="D7" s="487"/>
      <c r="E7" s="489"/>
      <c r="F7" s="489"/>
      <c r="G7" s="489"/>
      <c r="H7" s="488"/>
      <c r="I7" s="488"/>
      <c r="J7" s="488"/>
      <c r="K7" s="501"/>
      <c r="L7" s="489"/>
      <c r="M7" s="489"/>
      <c r="N7" s="488"/>
      <c r="O7" s="488"/>
      <c r="P7" s="488"/>
      <c r="Q7" s="489"/>
      <c r="R7" s="489"/>
      <c r="S7" s="502"/>
    </row>
    <row r="8" spans="1:19" ht="13.5">
      <c r="A8" s="486" t="s">
        <v>422</v>
      </c>
      <c r="B8" s="487">
        <v>64487</v>
      </c>
      <c r="C8" s="488">
        <v>15625</v>
      </c>
      <c r="D8" s="487">
        <v>48862</v>
      </c>
      <c r="E8" s="489">
        <f>B8/1613674*100</f>
        <v>3.996284255679896</v>
      </c>
      <c r="F8" s="489">
        <f>C8/375378*100</f>
        <v>4.162470896003495</v>
      </c>
      <c r="G8" s="489">
        <f>D8/1238296*100</f>
        <v>3.9459063099614307</v>
      </c>
      <c r="H8" s="488">
        <v>502897</v>
      </c>
      <c r="I8" s="488">
        <v>142798</v>
      </c>
      <c r="J8" s="488">
        <v>360099</v>
      </c>
      <c r="K8" s="501">
        <f aca="true" t="shared" si="0" ref="K8:K54">H8/11572080*100</f>
        <v>4.345778805538849</v>
      </c>
      <c r="L8" s="489">
        <f aca="true" t="shared" si="1" ref="L8:L54">I8/3805283*100</f>
        <v>3.752624969023329</v>
      </c>
      <c r="M8" s="489">
        <f aca="true" t="shared" si="2" ref="M8:M54">J8/7766797*100</f>
        <v>4.636390007360821</v>
      </c>
      <c r="N8" s="488">
        <v>19802618.66</v>
      </c>
      <c r="O8" s="488">
        <v>13210101.63</v>
      </c>
      <c r="P8" s="488">
        <v>6592517.03</v>
      </c>
      <c r="Q8" s="489">
        <f>N8/538931583*100</f>
        <v>3.6744216306209685</v>
      </c>
      <c r="R8" s="489">
        <f>O8/405646439*100</f>
        <v>3.256555551816394</v>
      </c>
      <c r="S8" s="502">
        <f>P8/133285144*100</f>
        <v>4.9461754192200145</v>
      </c>
    </row>
    <row r="9" spans="1:19" ht="13.5">
      <c r="A9" s="486" t="s">
        <v>423</v>
      </c>
      <c r="B9" s="487">
        <v>20227</v>
      </c>
      <c r="C9" s="488">
        <v>3829</v>
      </c>
      <c r="D9" s="487">
        <v>16398</v>
      </c>
      <c r="E9" s="489">
        <f aca="true" t="shared" si="3" ref="E9:E54">B9/1613674*100</f>
        <v>1.2534749893720787</v>
      </c>
      <c r="F9" s="489">
        <f aca="true" t="shared" si="4" ref="F9:F54">C9/375378*100</f>
        <v>1.0200384678910326</v>
      </c>
      <c r="G9" s="489">
        <f aca="true" t="shared" si="5" ref="G9:G54">D9/1238296*100</f>
        <v>1.32423911568801</v>
      </c>
      <c r="H9" s="488">
        <v>125829</v>
      </c>
      <c r="I9" s="488">
        <v>34115</v>
      </c>
      <c r="J9" s="488">
        <v>91714</v>
      </c>
      <c r="K9" s="501">
        <f t="shared" si="0"/>
        <v>1.0873498973391127</v>
      </c>
      <c r="L9" s="489">
        <f t="shared" si="1"/>
        <v>0.8965167636677744</v>
      </c>
      <c r="M9" s="489">
        <f t="shared" si="2"/>
        <v>1.1808471368570597</v>
      </c>
      <c r="N9" s="488">
        <v>3580436.03</v>
      </c>
      <c r="O9" s="488">
        <v>2092137.54</v>
      </c>
      <c r="P9" s="488">
        <v>1488298.49</v>
      </c>
      <c r="Q9" s="489">
        <f aca="true" t="shared" si="6" ref="Q9:Q54">N9/538931583*100</f>
        <v>0.6643581751266561</v>
      </c>
      <c r="R9" s="489">
        <f aca="true" t="shared" si="7" ref="R9:R54">O9/405646439*100</f>
        <v>0.5157539519285661</v>
      </c>
      <c r="S9" s="502">
        <f aca="true" t="shared" si="8" ref="S9:S54">P9/133285144*100</f>
        <v>1.1166274389889994</v>
      </c>
    </row>
    <row r="10" spans="1:19" ht="13.5">
      <c r="A10" s="486" t="s">
        <v>424</v>
      </c>
      <c r="B10" s="487">
        <v>19518</v>
      </c>
      <c r="C10" s="488">
        <v>3488</v>
      </c>
      <c r="D10" s="487">
        <v>16030</v>
      </c>
      <c r="E10" s="489">
        <f t="shared" si="3"/>
        <v>1.2095379859872564</v>
      </c>
      <c r="F10" s="489">
        <f t="shared" si="4"/>
        <v>0.9291967030566521</v>
      </c>
      <c r="G10" s="489">
        <f t="shared" si="5"/>
        <v>1.2945208576947678</v>
      </c>
      <c r="H10" s="488">
        <v>115604</v>
      </c>
      <c r="I10" s="488">
        <v>29393</v>
      </c>
      <c r="J10" s="488">
        <v>86211</v>
      </c>
      <c r="K10" s="501">
        <f t="shared" si="0"/>
        <v>0.9989906741052603</v>
      </c>
      <c r="L10" s="489">
        <f t="shared" si="1"/>
        <v>0.7724261244170275</v>
      </c>
      <c r="M10" s="489">
        <f t="shared" si="2"/>
        <v>1.1099942485943692</v>
      </c>
      <c r="N10" s="488">
        <v>3383568.18</v>
      </c>
      <c r="O10" s="488">
        <v>2011932.68</v>
      </c>
      <c r="P10" s="488">
        <v>1371635.5</v>
      </c>
      <c r="Q10" s="489">
        <f t="shared" si="6"/>
        <v>0.6278288908519952</v>
      </c>
      <c r="R10" s="489">
        <f t="shared" si="7"/>
        <v>0.4959818419606538</v>
      </c>
      <c r="S10" s="502">
        <f t="shared" si="8"/>
        <v>1.0290985618022064</v>
      </c>
    </row>
    <row r="11" spans="1:19" ht="13.5">
      <c r="A11" s="486" t="s">
        <v>425</v>
      </c>
      <c r="B11" s="487">
        <v>31717</v>
      </c>
      <c r="C11" s="488">
        <v>8219</v>
      </c>
      <c r="D11" s="487">
        <v>23498</v>
      </c>
      <c r="E11" s="489">
        <f t="shared" si="3"/>
        <v>1.96551471982569</v>
      </c>
      <c r="F11" s="489">
        <f t="shared" si="4"/>
        <v>2.1895262908321746</v>
      </c>
      <c r="G11" s="489">
        <f t="shared" si="5"/>
        <v>1.897607680231544</v>
      </c>
      <c r="H11" s="488">
        <v>228037</v>
      </c>
      <c r="I11" s="488">
        <v>77576</v>
      </c>
      <c r="J11" s="488">
        <v>150461</v>
      </c>
      <c r="K11" s="501">
        <f t="shared" si="0"/>
        <v>1.970579187146995</v>
      </c>
      <c r="L11" s="489">
        <f t="shared" si="1"/>
        <v>2.0386394389063835</v>
      </c>
      <c r="M11" s="489">
        <f t="shared" si="2"/>
        <v>1.9372335854793168</v>
      </c>
      <c r="N11" s="488">
        <v>10243178.34</v>
      </c>
      <c r="O11" s="488">
        <v>7749121.92</v>
      </c>
      <c r="P11" s="488">
        <v>2494056.42</v>
      </c>
      <c r="Q11" s="489">
        <f t="shared" si="6"/>
        <v>1.9006453997334205</v>
      </c>
      <c r="R11" s="489">
        <f t="shared" si="7"/>
        <v>1.9103142971261238</v>
      </c>
      <c r="S11" s="502">
        <f t="shared" si="8"/>
        <v>1.8712186108303261</v>
      </c>
    </row>
    <row r="12" spans="1:19" ht="13.5">
      <c r="A12" s="490" t="s">
        <v>426</v>
      </c>
      <c r="B12" s="491">
        <v>17522</v>
      </c>
      <c r="C12" s="492">
        <v>3059</v>
      </c>
      <c r="D12" s="491">
        <v>14463</v>
      </c>
      <c r="E12" s="493">
        <f t="shared" si="3"/>
        <v>1.0858450963453585</v>
      </c>
      <c r="F12" s="493">
        <f t="shared" si="4"/>
        <v>0.8149119021359803</v>
      </c>
      <c r="G12" s="493">
        <f t="shared" si="5"/>
        <v>1.1679759928159343</v>
      </c>
      <c r="H12" s="492">
        <v>98727</v>
      </c>
      <c r="I12" s="492">
        <v>23263</v>
      </c>
      <c r="J12" s="492">
        <v>75464</v>
      </c>
      <c r="K12" s="503">
        <f t="shared" si="0"/>
        <v>0.8531482672086609</v>
      </c>
      <c r="L12" s="493">
        <f t="shared" si="1"/>
        <v>0.6113342949788492</v>
      </c>
      <c r="M12" s="493">
        <f t="shared" si="2"/>
        <v>0.9716231800573648</v>
      </c>
      <c r="N12" s="492">
        <v>2626083.7</v>
      </c>
      <c r="O12" s="492">
        <v>1452873.51</v>
      </c>
      <c r="P12" s="492">
        <v>1173210.19</v>
      </c>
      <c r="Q12" s="493">
        <f t="shared" si="6"/>
        <v>0.4872758960203674</v>
      </c>
      <c r="R12" s="493">
        <f t="shared" si="7"/>
        <v>0.35816252044061453</v>
      </c>
      <c r="S12" s="504">
        <f t="shared" si="8"/>
        <v>0.8802257736991302</v>
      </c>
    </row>
    <row r="13" spans="1:19" ht="13.5">
      <c r="A13" s="486" t="s">
        <v>427</v>
      </c>
      <c r="B13" s="487">
        <v>18568</v>
      </c>
      <c r="C13" s="488">
        <v>3552</v>
      </c>
      <c r="D13" s="487">
        <v>15016</v>
      </c>
      <c r="E13" s="489">
        <f t="shared" si="3"/>
        <v>1.1506661196747299</v>
      </c>
      <c r="F13" s="489">
        <f t="shared" si="4"/>
        <v>0.9462461838466826</v>
      </c>
      <c r="G13" s="489">
        <f t="shared" si="5"/>
        <v>1.2126341359416488</v>
      </c>
      <c r="H13" s="488">
        <v>105380</v>
      </c>
      <c r="I13" s="488">
        <v>27469</v>
      </c>
      <c r="J13" s="488">
        <v>77911</v>
      </c>
      <c r="K13" s="501">
        <f t="shared" si="0"/>
        <v>0.9106400923602326</v>
      </c>
      <c r="L13" s="489">
        <f t="shared" si="1"/>
        <v>0.721864838962043</v>
      </c>
      <c r="M13" s="489">
        <f t="shared" si="2"/>
        <v>1.0031290891212943</v>
      </c>
      <c r="N13" s="488">
        <v>2832745.65</v>
      </c>
      <c r="O13" s="488">
        <v>1598693.97</v>
      </c>
      <c r="P13" s="488">
        <v>1234051.68</v>
      </c>
      <c r="Q13" s="489">
        <f t="shared" si="6"/>
        <v>0.5256224981715351</v>
      </c>
      <c r="R13" s="489">
        <f t="shared" si="7"/>
        <v>0.3941101945677378</v>
      </c>
      <c r="S13" s="502">
        <f t="shared" si="8"/>
        <v>0.9258733891603101</v>
      </c>
    </row>
    <row r="14" spans="1:19" ht="13.5">
      <c r="A14" s="486" t="s">
        <v>428</v>
      </c>
      <c r="B14" s="487">
        <v>28648</v>
      </c>
      <c r="C14" s="488">
        <v>5409</v>
      </c>
      <c r="D14" s="487">
        <v>23239</v>
      </c>
      <c r="E14" s="489">
        <f t="shared" si="3"/>
        <v>1.7753276064434327</v>
      </c>
      <c r="F14" s="489">
        <f t="shared" si="4"/>
        <v>1.440947524894906</v>
      </c>
      <c r="G14" s="489">
        <f t="shared" si="5"/>
        <v>1.8766918410460827</v>
      </c>
      <c r="H14" s="488">
        <v>171561</v>
      </c>
      <c r="I14" s="488">
        <v>42061</v>
      </c>
      <c r="J14" s="488">
        <v>129500</v>
      </c>
      <c r="K14" s="501">
        <f t="shared" si="0"/>
        <v>1.4825424642760852</v>
      </c>
      <c r="L14" s="489">
        <f t="shared" si="1"/>
        <v>1.1053317190863334</v>
      </c>
      <c r="M14" s="489">
        <f t="shared" si="2"/>
        <v>1.6673539941883377</v>
      </c>
      <c r="N14" s="488">
        <v>4721164.97</v>
      </c>
      <c r="O14" s="488">
        <v>2642248.71</v>
      </c>
      <c r="P14" s="488">
        <v>2078916.26</v>
      </c>
      <c r="Q14" s="489">
        <f t="shared" si="6"/>
        <v>0.8760230646939093</v>
      </c>
      <c r="R14" s="489">
        <f t="shared" si="7"/>
        <v>0.651367411609399</v>
      </c>
      <c r="S14" s="502">
        <f t="shared" si="8"/>
        <v>1.5597509201775706</v>
      </c>
    </row>
    <row r="15" spans="1:19" ht="13.5">
      <c r="A15" s="486" t="s">
        <v>429</v>
      </c>
      <c r="B15" s="487">
        <v>34645</v>
      </c>
      <c r="C15" s="488">
        <v>6714</v>
      </c>
      <c r="D15" s="487">
        <v>27931</v>
      </c>
      <c r="E15" s="489">
        <f t="shared" si="3"/>
        <v>2.146964008839456</v>
      </c>
      <c r="F15" s="489">
        <f t="shared" si="4"/>
        <v>1.7885970941291178</v>
      </c>
      <c r="G15" s="489">
        <f t="shared" si="5"/>
        <v>2.255599630459922</v>
      </c>
      <c r="H15" s="488">
        <v>232128</v>
      </c>
      <c r="I15" s="488">
        <v>53397</v>
      </c>
      <c r="J15" s="488">
        <v>178731</v>
      </c>
      <c r="K15" s="501">
        <f t="shared" si="0"/>
        <v>2.005931517929361</v>
      </c>
      <c r="L15" s="489">
        <f t="shared" si="1"/>
        <v>1.4032333469021883</v>
      </c>
      <c r="M15" s="489">
        <f t="shared" si="2"/>
        <v>2.3012188937086937</v>
      </c>
      <c r="N15" s="488">
        <v>6652104.78</v>
      </c>
      <c r="O15" s="488">
        <v>3749056.34</v>
      </c>
      <c r="P15" s="488">
        <v>2903048.44</v>
      </c>
      <c r="Q15" s="489">
        <f t="shared" si="6"/>
        <v>1.2343134063456809</v>
      </c>
      <c r="R15" s="489">
        <f t="shared" si="7"/>
        <v>0.9242177373089179</v>
      </c>
      <c r="S15" s="502">
        <f t="shared" si="8"/>
        <v>2.1780735293349722</v>
      </c>
    </row>
    <row r="16" spans="1:19" ht="13.5">
      <c r="A16" s="486" t="s">
        <v>430</v>
      </c>
      <c r="B16" s="487">
        <v>25764</v>
      </c>
      <c r="C16" s="488">
        <v>5550</v>
      </c>
      <c r="D16" s="487">
        <v>20214</v>
      </c>
      <c r="E16" s="489">
        <f t="shared" si="3"/>
        <v>1.5966050143957207</v>
      </c>
      <c r="F16" s="489">
        <f t="shared" si="4"/>
        <v>1.4785096622604414</v>
      </c>
      <c r="G16" s="489">
        <f t="shared" si="5"/>
        <v>1.6324045300961967</v>
      </c>
      <c r="H16" s="488">
        <v>165506</v>
      </c>
      <c r="I16" s="488">
        <v>44405</v>
      </c>
      <c r="J16" s="488">
        <v>121101</v>
      </c>
      <c r="K16" s="501">
        <f t="shared" si="0"/>
        <v>1.43021824944176</v>
      </c>
      <c r="L16" s="489">
        <f t="shared" si="1"/>
        <v>1.1669302913870008</v>
      </c>
      <c r="M16" s="489">
        <f t="shared" si="2"/>
        <v>1.559214177993837</v>
      </c>
      <c r="N16" s="488">
        <v>5478889.54</v>
      </c>
      <c r="O16" s="488">
        <v>3405690.16</v>
      </c>
      <c r="P16" s="488">
        <v>2073199.38</v>
      </c>
      <c r="Q16" s="489">
        <f t="shared" si="6"/>
        <v>1.0166206087795748</v>
      </c>
      <c r="R16" s="489">
        <f t="shared" si="7"/>
        <v>0.8395710728770874</v>
      </c>
      <c r="S16" s="502">
        <f t="shared" si="8"/>
        <v>1.5554617099712178</v>
      </c>
    </row>
    <row r="17" spans="1:19" ht="13.5">
      <c r="A17" s="486" t="s">
        <v>431</v>
      </c>
      <c r="B17" s="487">
        <v>26925</v>
      </c>
      <c r="C17" s="488">
        <v>5334</v>
      </c>
      <c r="D17" s="487">
        <v>21591</v>
      </c>
      <c r="E17" s="489">
        <f t="shared" si="3"/>
        <v>1.6685526320681872</v>
      </c>
      <c r="F17" s="489">
        <f t="shared" si="4"/>
        <v>1.4209676645940892</v>
      </c>
      <c r="G17" s="489">
        <f t="shared" si="5"/>
        <v>1.7436057291633018</v>
      </c>
      <c r="H17" s="488">
        <v>173891</v>
      </c>
      <c r="I17" s="488">
        <v>44890</v>
      </c>
      <c r="J17" s="488">
        <v>129001</v>
      </c>
      <c r="K17" s="501">
        <f t="shared" si="0"/>
        <v>1.5026771332379312</v>
      </c>
      <c r="L17" s="489">
        <f t="shared" si="1"/>
        <v>1.1796757297683247</v>
      </c>
      <c r="M17" s="489">
        <f t="shared" si="2"/>
        <v>1.660929209299535</v>
      </c>
      <c r="N17" s="488">
        <v>6055102.11</v>
      </c>
      <c r="O17" s="488">
        <v>3926848.34</v>
      </c>
      <c r="P17" s="488">
        <v>2128253.77</v>
      </c>
      <c r="Q17" s="489">
        <f t="shared" si="6"/>
        <v>1.1235381820256023</v>
      </c>
      <c r="R17" s="489">
        <f t="shared" si="7"/>
        <v>0.968047038618278</v>
      </c>
      <c r="S17" s="502">
        <f t="shared" si="8"/>
        <v>1.596767431184979</v>
      </c>
    </row>
    <row r="18" spans="1:19" ht="13.5">
      <c r="A18" s="486" t="s">
        <v>432</v>
      </c>
      <c r="B18" s="487">
        <v>58113</v>
      </c>
      <c r="C18" s="488">
        <v>12580</v>
      </c>
      <c r="D18" s="487">
        <v>45533</v>
      </c>
      <c r="E18" s="489">
        <f t="shared" si="3"/>
        <v>3.601285017915638</v>
      </c>
      <c r="F18" s="489">
        <f t="shared" si="4"/>
        <v>3.3512885677903337</v>
      </c>
      <c r="G18" s="489">
        <f t="shared" si="5"/>
        <v>3.677069133712779</v>
      </c>
      <c r="H18" s="488">
        <v>462503</v>
      </c>
      <c r="I18" s="488">
        <v>114401</v>
      </c>
      <c r="J18" s="488">
        <v>348102</v>
      </c>
      <c r="K18" s="501">
        <f t="shared" si="0"/>
        <v>3.996714505948801</v>
      </c>
      <c r="L18" s="489">
        <f t="shared" si="1"/>
        <v>3.006372981983206</v>
      </c>
      <c r="M18" s="489">
        <f t="shared" si="2"/>
        <v>4.481924788300764</v>
      </c>
      <c r="N18" s="488">
        <v>14359251.18</v>
      </c>
      <c r="O18" s="488">
        <v>8295327.31</v>
      </c>
      <c r="P18" s="488">
        <v>6063923.87</v>
      </c>
      <c r="Q18" s="489">
        <f t="shared" si="6"/>
        <v>2.664392222119964</v>
      </c>
      <c r="R18" s="489">
        <f t="shared" si="7"/>
        <v>2.044964903537585</v>
      </c>
      <c r="S18" s="502">
        <f t="shared" si="8"/>
        <v>4.549587214310996</v>
      </c>
    </row>
    <row r="19" spans="1:19" ht="13.5">
      <c r="A19" s="486" t="s">
        <v>433</v>
      </c>
      <c r="B19" s="487">
        <v>52605</v>
      </c>
      <c r="C19" s="488">
        <v>9713</v>
      </c>
      <c r="D19" s="487">
        <v>42892</v>
      </c>
      <c r="E19" s="489">
        <f t="shared" si="3"/>
        <v>3.2599521340741684</v>
      </c>
      <c r="F19" s="489">
        <f t="shared" si="4"/>
        <v>2.587525108024445</v>
      </c>
      <c r="G19" s="489">
        <f t="shared" si="5"/>
        <v>3.463792178929755</v>
      </c>
      <c r="H19" s="488">
        <v>419091</v>
      </c>
      <c r="I19" s="488">
        <v>86725</v>
      </c>
      <c r="J19" s="488">
        <v>332366</v>
      </c>
      <c r="K19" s="501">
        <f t="shared" si="0"/>
        <v>3.6215701930854265</v>
      </c>
      <c r="L19" s="489">
        <f t="shared" si="1"/>
        <v>2.279068337361505</v>
      </c>
      <c r="M19" s="489">
        <f t="shared" si="2"/>
        <v>4.2793187461961475</v>
      </c>
      <c r="N19" s="488">
        <v>11609091.03</v>
      </c>
      <c r="O19" s="488">
        <v>6154988.4</v>
      </c>
      <c r="P19" s="488">
        <v>5454102.63</v>
      </c>
      <c r="Q19" s="489">
        <f t="shared" si="6"/>
        <v>2.1540936542217826</v>
      </c>
      <c r="R19" s="489">
        <f t="shared" si="7"/>
        <v>1.5173283451404835</v>
      </c>
      <c r="S19" s="502">
        <f t="shared" si="8"/>
        <v>4.092055923351818</v>
      </c>
    </row>
    <row r="20" spans="1:19" ht="13.5">
      <c r="A20" s="486" t="s">
        <v>434</v>
      </c>
      <c r="B20" s="487">
        <v>171206</v>
      </c>
      <c r="C20" s="488">
        <v>56961</v>
      </c>
      <c r="D20" s="487">
        <v>114245</v>
      </c>
      <c r="E20" s="489">
        <f t="shared" si="3"/>
        <v>10.609701835686762</v>
      </c>
      <c r="F20" s="489">
        <f t="shared" si="4"/>
        <v>15.174304301264327</v>
      </c>
      <c r="G20" s="489">
        <f t="shared" si="5"/>
        <v>9.22598474032057</v>
      </c>
      <c r="H20" s="488">
        <v>1669139</v>
      </c>
      <c r="I20" s="488">
        <v>864244</v>
      </c>
      <c r="J20" s="488">
        <v>804895</v>
      </c>
      <c r="K20" s="501">
        <f t="shared" si="0"/>
        <v>14.423846015582335</v>
      </c>
      <c r="L20" s="489">
        <f t="shared" si="1"/>
        <v>22.711687934905235</v>
      </c>
      <c r="M20" s="489">
        <f t="shared" si="2"/>
        <v>10.363281028202488</v>
      </c>
      <c r="N20" s="488">
        <v>176921649.91</v>
      </c>
      <c r="O20" s="488">
        <v>160122924.62</v>
      </c>
      <c r="P20" s="488">
        <v>16798725.29</v>
      </c>
      <c r="Q20" s="489">
        <f t="shared" si="6"/>
        <v>32.82822077807231</v>
      </c>
      <c r="R20" s="489">
        <f t="shared" si="7"/>
        <v>39.473519110567125</v>
      </c>
      <c r="S20" s="502">
        <f t="shared" si="8"/>
        <v>12.603599160308518</v>
      </c>
    </row>
    <row r="21" spans="1:19" ht="13.5">
      <c r="A21" s="486" t="s">
        <v>435</v>
      </c>
      <c r="B21" s="487">
        <v>74566</v>
      </c>
      <c r="C21" s="488">
        <v>14771</v>
      </c>
      <c r="D21" s="487">
        <v>59795</v>
      </c>
      <c r="E21" s="489">
        <f t="shared" si="3"/>
        <v>4.6208837720630065</v>
      </c>
      <c r="F21" s="489">
        <f t="shared" si="4"/>
        <v>3.934966886711528</v>
      </c>
      <c r="G21" s="489">
        <f t="shared" si="5"/>
        <v>4.828813143222622</v>
      </c>
      <c r="H21" s="488">
        <v>622325</v>
      </c>
      <c r="I21" s="488">
        <v>147409</v>
      </c>
      <c r="J21" s="488">
        <v>474916</v>
      </c>
      <c r="K21" s="501">
        <f t="shared" si="0"/>
        <v>5.377814532910246</v>
      </c>
      <c r="L21" s="489">
        <f t="shared" si="1"/>
        <v>3.873798611036288</v>
      </c>
      <c r="M21" s="489">
        <f t="shared" si="2"/>
        <v>6.114695671845164</v>
      </c>
      <c r="N21" s="488">
        <v>19864702.24</v>
      </c>
      <c r="O21" s="488">
        <v>11386485.95</v>
      </c>
      <c r="P21" s="488">
        <v>8478216.29</v>
      </c>
      <c r="Q21" s="489">
        <f t="shared" si="6"/>
        <v>3.6859413822848826</v>
      </c>
      <c r="R21" s="489">
        <f t="shared" si="7"/>
        <v>2.8069976351992576</v>
      </c>
      <c r="S21" s="502">
        <f t="shared" si="8"/>
        <v>6.360961196095492</v>
      </c>
    </row>
    <row r="22" spans="1:19" ht="13.5">
      <c r="A22" s="486" t="s">
        <v>436</v>
      </c>
      <c r="B22" s="487">
        <v>36513</v>
      </c>
      <c r="C22" s="488">
        <v>7940</v>
      </c>
      <c r="D22" s="487">
        <v>28573</v>
      </c>
      <c r="E22" s="489">
        <f t="shared" si="3"/>
        <v>2.2627246891255606</v>
      </c>
      <c r="F22" s="489">
        <f t="shared" si="4"/>
        <v>2.115201210513136</v>
      </c>
      <c r="G22" s="489">
        <f t="shared" si="5"/>
        <v>2.307445069676394</v>
      </c>
      <c r="H22" s="488">
        <v>223859</v>
      </c>
      <c r="I22" s="488">
        <v>70237</v>
      </c>
      <c r="J22" s="488">
        <v>153622</v>
      </c>
      <c r="K22" s="501">
        <f t="shared" si="0"/>
        <v>1.9344750468368694</v>
      </c>
      <c r="L22" s="489">
        <f t="shared" si="1"/>
        <v>1.8457759909052758</v>
      </c>
      <c r="M22" s="489">
        <f t="shared" si="2"/>
        <v>1.9779324733220143</v>
      </c>
      <c r="N22" s="488">
        <v>7215214.38</v>
      </c>
      <c r="O22" s="488">
        <v>4729633.81</v>
      </c>
      <c r="P22" s="488">
        <v>2485580.57</v>
      </c>
      <c r="Q22" s="489">
        <f t="shared" si="6"/>
        <v>1.3387996932441792</v>
      </c>
      <c r="R22" s="489">
        <f t="shared" si="7"/>
        <v>1.165949791562203</v>
      </c>
      <c r="S22" s="502">
        <f t="shared" si="8"/>
        <v>1.864859424993381</v>
      </c>
    </row>
    <row r="23" spans="1:19" ht="13.5">
      <c r="A23" s="486" t="s">
        <v>437</v>
      </c>
      <c r="B23" s="487">
        <v>17998</v>
      </c>
      <c r="C23" s="488">
        <v>3592</v>
      </c>
      <c r="D23" s="487">
        <v>14406</v>
      </c>
      <c r="E23" s="489">
        <f t="shared" si="3"/>
        <v>1.115342999887214</v>
      </c>
      <c r="F23" s="489">
        <f t="shared" si="4"/>
        <v>0.9569021093404515</v>
      </c>
      <c r="G23" s="489">
        <f t="shared" si="5"/>
        <v>1.1633728930724156</v>
      </c>
      <c r="H23" s="488">
        <v>103472</v>
      </c>
      <c r="I23" s="488">
        <v>30091</v>
      </c>
      <c r="J23" s="488">
        <v>73381</v>
      </c>
      <c r="K23" s="501">
        <f t="shared" si="0"/>
        <v>0.8941521316824633</v>
      </c>
      <c r="L23" s="489">
        <f t="shared" si="1"/>
        <v>0.7907690439843764</v>
      </c>
      <c r="M23" s="489">
        <f t="shared" si="2"/>
        <v>0.9448038876257484</v>
      </c>
      <c r="N23" s="488">
        <v>3279808.28</v>
      </c>
      <c r="O23" s="488">
        <v>2088595.05</v>
      </c>
      <c r="P23" s="488">
        <v>1191213.23</v>
      </c>
      <c r="Q23" s="489">
        <f t="shared" si="6"/>
        <v>0.60857600175197</v>
      </c>
      <c r="R23" s="489">
        <f t="shared" si="7"/>
        <v>0.5148806569456906</v>
      </c>
      <c r="S23" s="502">
        <f t="shared" si="8"/>
        <v>0.893732935457533</v>
      </c>
    </row>
    <row r="24" spans="1:19" ht="13.5">
      <c r="A24" s="486" t="s">
        <v>438</v>
      </c>
      <c r="B24" s="487">
        <v>18090</v>
      </c>
      <c r="C24" s="488">
        <v>4430</v>
      </c>
      <c r="D24" s="487">
        <v>13660</v>
      </c>
      <c r="E24" s="489">
        <f t="shared" si="3"/>
        <v>1.12104427536169</v>
      </c>
      <c r="F24" s="489">
        <f t="shared" si="4"/>
        <v>1.1801437484349109</v>
      </c>
      <c r="G24" s="489">
        <f t="shared" si="5"/>
        <v>1.103128815727419</v>
      </c>
      <c r="H24" s="488">
        <v>115036</v>
      </c>
      <c r="I24" s="488">
        <v>37844</v>
      </c>
      <c r="J24" s="488">
        <v>77192</v>
      </c>
      <c r="K24" s="501">
        <f t="shared" si="0"/>
        <v>0.9940823084527588</v>
      </c>
      <c r="L24" s="489">
        <f t="shared" si="1"/>
        <v>0.9945121033048001</v>
      </c>
      <c r="M24" s="489">
        <f t="shared" si="2"/>
        <v>0.9938717337404338</v>
      </c>
      <c r="N24" s="488">
        <v>4348368.19</v>
      </c>
      <c r="O24" s="488">
        <v>3042880.66</v>
      </c>
      <c r="P24" s="488">
        <v>1305487.53</v>
      </c>
      <c r="Q24" s="489">
        <f t="shared" si="6"/>
        <v>0.8068497611133695</v>
      </c>
      <c r="R24" s="489">
        <f t="shared" si="7"/>
        <v>0.7501312392884091</v>
      </c>
      <c r="S24" s="502">
        <f t="shared" si="8"/>
        <v>0.9794696474199706</v>
      </c>
    </row>
    <row r="25" spans="1:19" ht="13.5">
      <c r="A25" s="486" t="s">
        <v>439</v>
      </c>
      <c r="B25" s="487">
        <v>13298</v>
      </c>
      <c r="C25" s="488">
        <v>2942</v>
      </c>
      <c r="D25" s="487">
        <v>10356</v>
      </c>
      <c r="E25" s="489">
        <f t="shared" si="3"/>
        <v>0.8240821876041877</v>
      </c>
      <c r="F25" s="489">
        <f t="shared" si="4"/>
        <v>0.7837433200667061</v>
      </c>
      <c r="G25" s="489">
        <f t="shared" si="5"/>
        <v>0.8363105428750477</v>
      </c>
      <c r="H25" s="488">
        <v>76946</v>
      </c>
      <c r="I25" s="488">
        <v>23169</v>
      </c>
      <c r="J25" s="488">
        <v>53777</v>
      </c>
      <c r="K25" s="501">
        <f t="shared" si="0"/>
        <v>0.6649279991151116</v>
      </c>
      <c r="L25" s="489">
        <f t="shared" si="1"/>
        <v>0.6088640450657679</v>
      </c>
      <c r="M25" s="489">
        <f t="shared" si="2"/>
        <v>0.6923961061425965</v>
      </c>
      <c r="N25" s="488">
        <v>2302799.86</v>
      </c>
      <c r="O25" s="488">
        <v>1407013.53</v>
      </c>
      <c r="P25" s="488">
        <v>895786.33</v>
      </c>
      <c r="Q25" s="489">
        <f t="shared" si="6"/>
        <v>0.42728983281723903</v>
      </c>
      <c r="R25" s="489">
        <f t="shared" si="7"/>
        <v>0.34685711366493716</v>
      </c>
      <c r="S25" s="502">
        <f t="shared" si="8"/>
        <v>0.6720826516119456</v>
      </c>
    </row>
    <row r="26" spans="1:19" ht="13.5">
      <c r="A26" s="486" t="s">
        <v>440</v>
      </c>
      <c r="B26" s="487">
        <v>12362</v>
      </c>
      <c r="C26" s="488">
        <v>2393</v>
      </c>
      <c r="D26" s="487">
        <v>9969</v>
      </c>
      <c r="E26" s="489">
        <f t="shared" si="3"/>
        <v>0.766077906689951</v>
      </c>
      <c r="F26" s="489">
        <f t="shared" si="4"/>
        <v>0.6374907426647273</v>
      </c>
      <c r="G26" s="489">
        <f t="shared" si="5"/>
        <v>0.8050579183006324</v>
      </c>
      <c r="H26" s="488">
        <v>72039</v>
      </c>
      <c r="I26" s="488">
        <v>18462</v>
      </c>
      <c r="J26" s="488">
        <v>53577</v>
      </c>
      <c r="K26" s="501">
        <f t="shared" si="0"/>
        <v>0.6225242134516872</v>
      </c>
      <c r="L26" s="489">
        <f t="shared" si="1"/>
        <v>0.4851675946309381</v>
      </c>
      <c r="M26" s="489">
        <f t="shared" si="2"/>
        <v>0.6898210420589079</v>
      </c>
      <c r="N26" s="488">
        <v>1938913.13</v>
      </c>
      <c r="O26" s="488">
        <v>1042926.58</v>
      </c>
      <c r="P26" s="488">
        <v>895986.55</v>
      </c>
      <c r="Q26" s="489">
        <f t="shared" si="6"/>
        <v>0.35976980959380883</v>
      </c>
      <c r="R26" s="489">
        <f t="shared" si="7"/>
        <v>0.25710236297673994</v>
      </c>
      <c r="S26" s="502">
        <f t="shared" si="8"/>
        <v>0.6722328709042023</v>
      </c>
    </row>
    <row r="27" spans="1:19" ht="13.5">
      <c r="A27" s="486" t="s">
        <v>441</v>
      </c>
      <c r="B27" s="487">
        <v>29545</v>
      </c>
      <c r="C27" s="488">
        <v>5847</v>
      </c>
      <c r="D27" s="487">
        <v>23698</v>
      </c>
      <c r="E27" s="489">
        <f t="shared" si="3"/>
        <v>1.8309150423195764</v>
      </c>
      <c r="F27" s="489">
        <f t="shared" si="4"/>
        <v>1.5576299090516759</v>
      </c>
      <c r="G27" s="489">
        <f t="shared" si="5"/>
        <v>1.9137589074017844</v>
      </c>
      <c r="H27" s="488">
        <v>187422</v>
      </c>
      <c r="I27" s="488">
        <v>48548</v>
      </c>
      <c r="J27" s="488">
        <v>138874</v>
      </c>
      <c r="K27" s="501">
        <f t="shared" si="0"/>
        <v>1.6196051185266607</v>
      </c>
      <c r="L27" s="489">
        <f t="shared" si="1"/>
        <v>1.2758052423433421</v>
      </c>
      <c r="M27" s="489">
        <f t="shared" si="2"/>
        <v>1.7880472477908205</v>
      </c>
      <c r="N27" s="488">
        <v>6065663.65</v>
      </c>
      <c r="O27" s="488">
        <v>3663193.34</v>
      </c>
      <c r="P27" s="488">
        <v>2402470.31</v>
      </c>
      <c r="Q27" s="489">
        <f t="shared" si="6"/>
        <v>1.1254979001666712</v>
      </c>
      <c r="R27" s="489">
        <f t="shared" si="7"/>
        <v>0.9030507821122521</v>
      </c>
      <c r="S27" s="502">
        <f t="shared" si="8"/>
        <v>1.8025041935656385</v>
      </c>
    </row>
    <row r="28" spans="1:19" ht="13.5">
      <c r="A28" s="486" t="s">
        <v>442</v>
      </c>
      <c r="B28" s="487">
        <v>29234</v>
      </c>
      <c r="C28" s="488">
        <v>6887</v>
      </c>
      <c r="D28" s="487">
        <v>22347</v>
      </c>
      <c r="E28" s="489">
        <f t="shared" si="3"/>
        <v>1.811642252400423</v>
      </c>
      <c r="F28" s="489">
        <f t="shared" si="4"/>
        <v>1.8346839718896686</v>
      </c>
      <c r="G28" s="489">
        <f t="shared" si="5"/>
        <v>1.8046573678668105</v>
      </c>
      <c r="H28" s="488">
        <v>182554</v>
      </c>
      <c r="I28" s="488">
        <v>54079</v>
      </c>
      <c r="J28" s="488">
        <v>128475</v>
      </c>
      <c r="K28" s="501">
        <f t="shared" si="0"/>
        <v>1.5775383509274048</v>
      </c>
      <c r="L28" s="489">
        <f t="shared" si="1"/>
        <v>1.4211557983992256</v>
      </c>
      <c r="M28" s="489">
        <f t="shared" si="2"/>
        <v>1.654156790759434</v>
      </c>
      <c r="N28" s="488">
        <v>4935324.74</v>
      </c>
      <c r="O28" s="488">
        <v>2842572.26</v>
      </c>
      <c r="P28" s="488">
        <v>2092752.48</v>
      </c>
      <c r="Q28" s="489">
        <f t="shared" si="6"/>
        <v>0.9157609046638487</v>
      </c>
      <c r="R28" s="489">
        <f t="shared" si="7"/>
        <v>0.7007511928386483</v>
      </c>
      <c r="S28" s="502">
        <f t="shared" si="8"/>
        <v>1.570131837048546</v>
      </c>
    </row>
    <row r="29" spans="1:19" ht="13.5">
      <c r="A29" s="486" t="s">
        <v>443</v>
      </c>
      <c r="B29" s="487">
        <v>51135</v>
      </c>
      <c r="C29" s="488">
        <v>11571</v>
      </c>
      <c r="D29" s="487">
        <v>39564</v>
      </c>
      <c r="E29" s="489">
        <f t="shared" si="3"/>
        <v>3.168855667253733</v>
      </c>
      <c r="F29" s="489">
        <f t="shared" si="4"/>
        <v>3.0824928472100126</v>
      </c>
      <c r="G29" s="489">
        <f t="shared" si="5"/>
        <v>3.1950357588169545</v>
      </c>
      <c r="H29" s="488">
        <v>324945</v>
      </c>
      <c r="I29" s="488">
        <v>94531</v>
      </c>
      <c r="J29" s="488">
        <v>230414</v>
      </c>
      <c r="K29" s="501">
        <f t="shared" si="0"/>
        <v>2.808008586183296</v>
      </c>
      <c r="L29" s="489">
        <f t="shared" si="1"/>
        <v>2.4842041971648365</v>
      </c>
      <c r="M29" s="489">
        <f t="shared" si="2"/>
        <v>2.966654078895071</v>
      </c>
      <c r="N29" s="488">
        <v>10765230.97</v>
      </c>
      <c r="O29" s="488">
        <v>6793035.42</v>
      </c>
      <c r="P29" s="488">
        <v>3972195.55</v>
      </c>
      <c r="Q29" s="489">
        <f t="shared" si="6"/>
        <v>1.9975134710188251</v>
      </c>
      <c r="R29" s="489">
        <f t="shared" si="7"/>
        <v>1.6746197592036545</v>
      </c>
      <c r="S29" s="502">
        <f t="shared" si="8"/>
        <v>2.980223774976752</v>
      </c>
    </row>
    <row r="30" spans="1:19" ht="13.5">
      <c r="A30" s="486" t="s">
        <v>444</v>
      </c>
      <c r="B30" s="487">
        <v>86945</v>
      </c>
      <c r="C30" s="488">
        <v>25555</v>
      </c>
      <c r="D30" s="487">
        <v>61390</v>
      </c>
      <c r="E30" s="489">
        <f t="shared" si="3"/>
        <v>5.388015175308023</v>
      </c>
      <c r="F30" s="489">
        <f t="shared" si="4"/>
        <v>6.807804399831636</v>
      </c>
      <c r="G30" s="489">
        <f t="shared" si="5"/>
        <v>4.957619179905289</v>
      </c>
      <c r="H30" s="488">
        <v>698965</v>
      </c>
      <c r="I30" s="488">
        <v>267447</v>
      </c>
      <c r="J30" s="488">
        <v>431518</v>
      </c>
      <c r="K30" s="501">
        <f t="shared" si="0"/>
        <v>6.040098236444961</v>
      </c>
      <c r="L30" s="489">
        <f t="shared" si="1"/>
        <v>7.0283077500411935</v>
      </c>
      <c r="M30" s="489">
        <f t="shared" si="2"/>
        <v>5.555932516325584</v>
      </c>
      <c r="N30" s="488">
        <v>40890024.55</v>
      </c>
      <c r="O30" s="488">
        <v>32949724</v>
      </c>
      <c r="P30" s="488">
        <v>7940300.55</v>
      </c>
      <c r="Q30" s="489">
        <f t="shared" si="6"/>
        <v>7.587238499251211</v>
      </c>
      <c r="R30" s="489">
        <f t="shared" si="7"/>
        <v>8.122769198030603</v>
      </c>
      <c r="S30" s="502">
        <f t="shared" si="8"/>
        <v>5.957378528247679</v>
      </c>
    </row>
    <row r="31" spans="1:19" ht="13.5">
      <c r="A31" s="486" t="s">
        <v>445</v>
      </c>
      <c r="B31" s="487">
        <v>23266</v>
      </c>
      <c r="C31" s="488">
        <v>4379</v>
      </c>
      <c r="D31" s="487">
        <v>18887</v>
      </c>
      <c r="E31" s="489">
        <f t="shared" si="3"/>
        <v>1.4418029911865717</v>
      </c>
      <c r="F31" s="489">
        <f t="shared" si="4"/>
        <v>1.1665574434303554</v>
      </c>
      <c r="G31" s="489">
        <f t="shared" si="5"/>
        <v>1.5252411378216517</v>
      </c>
      <c r="H31" s="488">
        <v>146694</v>
      </c>
      <c r="I31" s="488">
        <v>33679</v>
      </c>
      <c r="J31" s="488">
        <v>113015</v>
      </c>
      <c r="K31" s="501">
        <f t="shared" si="0"/>
        <v>1.2676545616691208</v>
      </c>
      <c r="L31" s="489">
        <f t="shared" si="1"/>
        <v>0.88505900875178</v>
      </c>
      <c r="M31" s="489">
        <f t="shared" si="2"/>
        <v>1.455104337090309</v>
      </c>
      <c r="N31" s="488">
        <v>3843845.07</v>
      </c>
      <c r="O31" s="488">
        <v>2002998.55</v>
      </c>
      <c r="P31" s="488">
        <v>1840846.52</v>
      </c>
      <c r="Q31" s="489">
        <f t="shared" si="6"/>
        <v>0.7132343308965063</v>
      </c>
      <c r="R31" s="489">
        <f t="shared" si="7"/>
        <v>0.4937793993552104</v>
      </c>
      <c r="S31" s="502">
        <f t="shared" si="8"/>
        <v>1.3811340594717745</v>
      </c>
    </row>
    <row r="32" spans="1:19" ht="13.5">
      <c r="A32" s="486" t="s">
        <v>446</v>
      </c>
      <c r="B32" s="487">
        <v>15314</v>
      </c>
      <c r="C32" s="488">
        <v>2635</v>
      </c>
      <c r="D32" s="487">
        <v>12679</v>
      </c>
      <c r="E32" s="489">
        <f t="shared" si="3"/>
        <v>0.9490144849579283</v>
      </c>
      <c r="F32" s="489">
        <f t="shared" si="4"/>
        <v>0.7019590919020294</v>
      </c>
      <c r="G32" s="489">
        <f t="shared" si="5"/>
        <v>1.0239070464573898</v>
      </c>
      <c r="H32" s="488">
        <v>105954</v>
      </c>
      <c r="I32" s="488">
        <v>20237</v>
      </c>
      <c r="J32" s="488">
        <v>85717</v>
      </c>
      <c r="K32" s="501">
        <f t="shared" si="0"/>
        <v>0.9156003069456831</v>
      </c>
      <c r="L32" s="489">
        <f t="shared" si="1"/>
        <v>0.5318132711811447</v>
      </c>
      <c r="M32" s="489">
        <f t="shared" si="2"/>
        <v>1.1036338403076584</v>
      </c>
      <c r="N32" s="488">
        <v>2517233.85</v>
      </c>
      <c r="O32" s="488">
        <v>1205127.26</v>
      </c>
      <c r="P32" s="488">
        <v>1312106.59</v>
      </c>
      <c r="Q32" s="489">
        <f t="shared" si="6"/>
        <v>0.4670785549415463</v>
      </c>
      <c r="R32" s="489">
        <f t="shared" si="7"/>
        <v>0.29708809054773927</v>
      </c>
      <c r="S32" s="502">
        <f t="shared" si="8"/>
        <v>0.984435737264162</v>
      </c>
    </row>
    <row r="33" spans="1:19" ht="13.5">
      <c r="A33" s="486" t="s">
        <v>447</v>
      </c>
      <c r="B33" s="487">
        <v>37387</v>
      </c>
      <c r="C33" s="488">
        <v>8467</v>
      </c>
      <c r="D33" s="487">
        <v>28920</v>
      </c>
      <c r="E33" s="489">
        <f t="shared" si="3"/>
        <v>2.3168868061330854</v>
      </c>
      <c r="F33" s="489">
        <f t="shared" si="4"/>
        <v>2.255593028893542</v>
      </c>
      <c r="G33" s="489">
        <f t="shared" si="5"/>
        <v>2.335467448816761</v>
      </c>
      <c r="H33" s="488">
        <v>254766</v>
      </c>
      <c r="I33" s="488">
        <v>76473</v>
      </c>
      <c r="J33" s="488">
        <v>178293</v>
      </c>
      <c r="K33" s="501">
        <f t="shared" si="0"/>
        <v>2.2015575419457867</v>
      </c>
      <c r="L33" s="489">
        <f t="shared" si="1"/>
        <v>2.0096534213092694</v>
      </c>
      <c r="M33" s="489">
        <f t="shared" si="2"/>
        <v>2.2955795033654156</v>
      </c>
      <c r="N33" s="488">
        <v>7453636.8</v>
      </c>
      <c r="O33" s="488">
        <v>4412796.86</v>
      </c>
      <c r="P33" s="488">
        <v>3040839.94</v>
      </c>
      <c r="Q33" s="489">
        <f t="shared" si="6"/>
        <v>1.3830395239612447</v>
      </c>
      <c r="R33" s="489">
        <f t="shared" si="7"/>
        <v>1.087843115516663</v>
      </c>
      <c r="S33" s="502">
        <f t="shared" si="8"/>
        <v>2.281454518292001</v>
      </c>
    </row>
    <row r="34" spans="1:19" ht="13.5">
      <c r="A34" s="486" t="s">
        <v>448</v>
      </c>
      <c r="B34" s="487">
        <v>120357</v>
      </c>
      <c r="C34" s="488">
        <v>38047</v>
      </c>
      <c r="D34" s="487">
        <v>82310</v>
      </c>
      <c r="E34" s="489">
        <f t="shared" si="3"/>
        <v>7.458569698712379</v>
      </c>
      <c r="F34" s="489">
        <f t="shared" si="4"/>
        <v>10.135649931535678</v>
      </c>
      <c r="G34" s="489">
        <f t="shared" si="5"/>
        <v>6.647037541912434</v>
      </c>
      <c r="H34" s="488">
        <v>976957</v>
      </c>
      <c r="I34" s="488">
        <v>451726</v>
      </c>
      <c r="J34" s="488">
        <v>525231</v>
      </c>
      <c r="K34" s="501">
        <f t="shared" si="0"/>
        <v>8.44236299783617</v>
      </c>
      <c r="L34" s="489">
        <f t="shared" si="1"/>
        <v>11.871022470602055</v>
      </c>
      <c r="M34" s="489">
        <f t="shared" si="2"/>
        <v>6.762517418699112</v>
      </c>
      <c r="N34" s="488">
        <v>59997522.04</v>
      </c>
      <c r="O34" s="488">
        <v>50528626.2</v>
      </c>
      <c r="P34" s="488">
        <v>9468895.84</v>
      </c>
      <c r="Q34" s="489">
        <f t="shared" si="6"/>
        <v>11.132678791252062</v>
      </c>
      <c r="R34" s="489">
        <f t="shared" si="7"/>
        <v>12.456321895629904</v>
      </c>
      <c r="S34" s="502">
        <f t="shared" si="8"/>
        <v>7.104239494238007</v>
      </c>
    </row>
    <row r="35" spans="1:19" ht="13.5">
      <c r="A35" s="486" t="s">
        <v>449</v>
      </c>
      <c r="B35" s="487">
        <v>66265</v>
      </c>
      <c r="C35" s="488">
        <v>12834</v>
      </c>
      <c r="D35" s="487">
        <v>53431</v>
      </c>
      <c r="E35" s="489">
        <f t="shared" si="3"/>
        <v>4.106467601262709</v>
      </c>
      <c r="F35" s="489">
        <f t="shared" si="4"/>
        <v>3.4189536946757664</v>
      </c>
      <c r="G35" s="489">
        <f t="shared" si="5"/>
        <v>4.314881094665573</v>
      </c>
      <c r="H35" s="488">
        <v>445928</v>
      </c>
      <c r="I35" s="488">
        <v>112273</v>
      </c>
      <c r="J35" s="488">
        <v>333655</v>
      </c>
      <c r="K35" s="501">
        <f t="shared" si="0"/>
        <v>3.853481828677299</v>
      </c>
      <c r="L35" s="489">
        <f t="shared" si="1"/>
        <v>2.950450728631747</v>
      </c>
      <c r="M35" s="489">
        <f t="shared" si="2"/>
        <v>4.29591503421552</v>
      </c>
      <c r="N35" s="488">
        <v>12914696.25</v>
      </c>
      <c r="O35" s="488">
        <v>7581071.73</v>
      </c>
      <c r="P35" s="488">
        <v>5333624.52</v>
      </c>
      <c r="Q35" s="489">
        <f t="shared" si="6"/>
        <v>2.3963517183590257</v>
      </c>
      <c r="R35" s="489">
        <f t="shared" si="7"/>
        <v>1.8688865477751675</v>
      </c>
      <c r="S35" s="502">
        <f t="shared" si="8"/>
        <v>4.001664671645626</v>
      </c>
    </row>
    <row r="36" spans="1:19" ht="13.5">
      <c r="A36" s="486" t="s">
        <v>450</v>
      </c>
      <c r="B36" s="487">
        <v>14512</v>
      </c>
      <c r="C36" s="488">
        <v>1973</v>
      </c>
      <c r="D36" s="487">
        <v>12539</v>
      </c>
      <c r="E36" s="489">
        <f t="shared" si="3"/>
        <v>0.8993142357130375</v>
      </c>
      <c r="F36" s="489">
        <f t="shared" si="4"/>
        <v>0.5256035249801534</v>
      </c>
      <c r="G36" s="489">
        <f t="shared" si="5"/>
        <v>1.0126011874382215</v>
      </c>
      <c r="H36" s="488">
        <v>97510</v>
      </c>
      <c r="I36" s="488">
        <v>16004</v>
      </c>
      <c r="J36" s="488">
        <v>81506</v>
      </c>
      <c r="K36" s="501">
        <f t="shared" si="0"/>
        <v>0.8426315753088468</v>
      </c>
      <c r="L36" s="489">
        <f t="shared" si="1"/>
        <v>0.4205731873292999</v>
      </c>
      <c r="M36" s="489">
        <f t="shared" si="2"/>
        <v>1.049415866025596</v>
      </c>
      <c r="N36" s="488">
        <v>2147021.82</v>
      </c>
      <c r="O36" s="488">
        <v>903755.77</v>
      </c>
      <c r="P36" s="488">
        <v>1243266.05</v>
      </c>
      <c r="Q36" s="489">
        <f t="shared" si="6"/>
        <v>0.3983848576935228</v>
      </c>
      <c r="R36" s="489">
        <f t="shared" si="7"/>
        <v>0.22279396122099324</v>
      </c>
      <c r="S36" s="502">
        <f t="shared" si="8"/>
        <v>0.932786665256557</v>
      </c>
    </row>
    <row r="37" spans="1:19" ht="13.5">
      <c r="A37" s="486" t="s">
        <v>451</v>
      </c>
      <c r="B37" s="487">
        <v>16738</v>
      </c>
      <c r="C37" s="488">
        <v>2875</v>
      </c>
      <c r="D37" s="487">
        <v>13863</v>
      </c>
      <c r="E37" s="489">
        <f t="shared" si="3"/>
        <v>1.037260314041126</v>
      </c>
      <c r="F37" s="489">
        <f t="shared" si="4"/>
        <v>0.7658946448646431</v>
      </c>
      <c r="G37" s="489">
        <f t="shared" si="5"/>
        <v>1.1195223113052128</v>
      </c>
      <c r="H37" s="488">
        <v>84810</v>
      </c>
      <c r="I37" s="488">
        <v>20707</v>
      </c>
      <c r="J37" s="488">
        <v>64103</v>
      </c>
      <c r="K37" s="501">
        <f t="shared" si="0"/>
        <v>0.7328846672335483</v>
      </c>
      <c r="L37" s="489">
        <f t="shared" si="1"/>
        <v>0.5441645207465515</v>
      </c>
      <c r="M37" s="489">
        <f t="shared" si="2"/>
        <v>0.8253466647834365</v>
      </c>
      <c r="N37" s="488">
        <v>1855517.19</v>
      </c>
      <c r="O37" s="488">
        <v>911957.14</v>
      </c>
      <c r="P37" s="488">
        <v>943560.05</v>
      </c>
      <c r="Q37" s="489">
        <f t="shared" si="6"/>
        <v>0.344295500306576</v>
      </c>
      <c r="R37" s="489">
        <f t="shared" si="7"/>
        <v>0.22481576375923762</v>
      </c>
      <c r="S37" s="502">
        <f t="shared" si="8"/>
        <v>0.7079258960773602</v>
      </c>
    </row>
    <row r="38" spans="1:19" ht="13.5">
      <c r="A38" s="486" t="s">
        <v>452</v>
      </c>
      <c r="B38" s="487">
        <v>8485</v>
      </c>
      <c r="C38" s="488">
        <v>1610</v>
      </c>
      <c r="D38" s="487">
        <v>6875</v>
      </c>
      <c r="E38" s="489">
        <f t="shared" si="3"/>
        <v>0.5258187217492505</v>
      </c>
      <c r="F38" s="489">
        <f t="shared" si="4"/>
        <v>0.42890100112420015</v>
      </c>
      <c r="G38" s="489">
        <f t="shared" si="5"/>
        <v>0.5551984339770136</v>
      </c>
      <c r="H38" s="488">
        <v>51913</v>
      </c>
      <c r="I38" s="488">
        <v>14464</v>
      </c>
      <c r="J38" s="488">
        <v>37449</v>
      </c>
      <c r="K38" s="501">
        <f t="shared" si="0"/>
        <v>0.44860560936322597</v>
      </c>
      <c r="L38" s="489">
        <f t="shared" si="1"/>
        <v>0.3801031355617966</v>
      </c>
      <c r="M38" s="489">
        <f t="shared" si="2"/>
        <v>0.48216787435026304</v>
      </c>
      <c r="N38" s="488">
        <v>1478549.25</v>
      </c>
      <c r="O38" s="488">
        <v>830658.25</v>
      </c>
      <c r="P38" s="488">
        <v>647891</v>
      </c>
      <c r="Q38" s="489">
        <f t="shared" si="6"/>
        <v>0.27434822835387623</v>
      </c>
      <c r="R38" s="489">
        <f t="shared" si="7"/>
        <v>0.204773953408229</v>
      </c>
      <c r="S38" s="502">
        <f t="shared" si="8"/>
        <v>0.4860939340696514</v>
      </c>
    </row>
    <row r="39" spans="1:19" ht="13.5">
      <c r="A39" s="486" t="s">
        <v>453</v>
      </c>
      <c r="B39" s="487">
        <v>12090</v>
      </c>
      <c r="C39" s="488">
        <v>2160</v>
      </c>
      <c r="D39" s="487">
        <v>9930</v>
      </c>
      <c r="E39" s="489">
        <f t="shared" si="3"/>
        <v>0.7492219618088908</v>
      </c>
      <c r="F39" s="489">
        <f t="shared" si="4"/>
        <v>0.5754199766635232</v>
      </c>
      <c r="G39" s="489">
        <f t="shared" si="5"/>
        <v>0.8019084290024356</v>
      </c>
      <c r="H39" s="488">
        <v>64437</v>
      </c>
      <c r="I39" s="488">
        <v>16679</v>
      </c>
      <c r="J39" s="488">
        <v>47758</v>
      </c>
      <c r="K39" s="501">
        <f t="shared" si="0"/>
        <v>0.556831615405355</v>
      </c>
      <c r="L39" s="489">
        <f t="shared" si="1"/>
        <v>0.4383116840455756</v>
      </c>
      <c r="M39" s="489">
        <f t="shared" si="2"/>
        <v>0.6148995525439894</v>
      </c>
      <c r="N39" s="488">
        <v>1643389.84</v>
      </c>
      <c r="O39" s="488">
        <v>854195.43</v>
      </c>
      <c r="P39" s="488">
        <v>789194.41</v>
      </c>
      <c r="Q39" s="489">
        <f t="shared" si="6"/>
        <v>0.3049347805619327</v>
      </c>
      <c r="R39" s="489">
        <f t="shared" si="7"/>
        <v>0.21057634133452852</v>
      </c>
      <c r="S39" s="502">
        <f t="shared" si="8"/>
        <v>0.5921098078267448</v>
      </c>
    </row>
    <row r="40" spans="1:19" ht="13.5">
      <c r="A40" s="486" t="s">
        <v>454</v>
      </c>
      <c r="B40" s="487">
        <v>25469</v>
      </c>
      <c r="C40" s="488">
        <v>5134</v>
      </c>
      <c r="D40" s="487">
        <v>20335</v>
      </c>
      <c r="E40" s="489">
        <f t="shared" si="3"/>
        <v>1.5783237506460415</v>
      </c>
      <c r="F40" s="489">
        <f t="shared" si="4"/>
        <v>1.3676880371252444</v>
      </c>
      <c r="G40" s="489">
        <f t="shared" si="5"/>
        <v>1.6421760225341924</v>
      </c>
      <c r="H40" s="488">
        <v>166478</v>
      </c>
      <c r="I40" s="488">
        <v>47083</v>
      </c>
      <c r="J40" s="488">
        <v>119395</v>
      </c>
      <c r="K40" s="501">
        <f t="shared" si="0"/>
        <v>1.4386177765794914</v>
      </c>
      <c r="L40" s="489">
        <f t="shared" si="1"/>
        <v>1.2373061346554253</v>
      </c>
      <c r="M40" s="489">
        <f t="shared" si="2"/>
        <v>1.5372488813599738</v>
      </c>
      <c r="N40" s="488">
        <v>5452929.53</v>
      </c>
      <c r="O40" s="488">
        <v>3456822.03</v>
      </c>
      <c r="P40" s="488">
        <v>1996107.5</v>
      </c>
      <c r="Q40" s="489">
        <f t="shared" si="6"/>
        <v>1.0118036689640437</v>
      </c>
      <c r="R40" s="489">
        <f t="shared" si="7"/>
        <v>0.8521761064935663</v>
      </c>
      <c r="S40" s="502">
        <f t="shared" si="8"/>
        <v>1.4976218955054736</v>
      </c>
    </row>
    <row r="41" spans="1:19" ht="13.5">
      <c r="A41" s="486" t="s">
        <v>455</v>
      </c>
      <c r="B41" s="487">
        <v>39272</v>
      </c>
      <c r="C41" s="488">
        <v>9663</v>
      </c>
      <c r="D41" s="487">
        <v>29609</v>
      </c>
      <c r="E41" s="489">
        <f t="shared" si="3"/>
        <v>2.433700982974256</v>
      </c>
      <c r="F41" s="489">
        <f t="shared" si="4"/>
        <v>2.5742052011572336</v>
      </c>
      <c r="G41" s="489">
        <f t="shared" si="5"/>
        <v>2.3911084264182394</v>
      </c>
      <c r="H41" s="488">
        <v>278134</v>
      </c>
      <c r="I41" s="488">
        <v>93468</v>
      </c>
      <c r="J41" s="488">
        <v>184666</v>
      </c>
      <c r="K41" s="501">
        <f t="shared" si="0"/>
        <v>2.403491852804336</v>
      </c>
      <c r="L41" s="489">
        <f t="shared" si="1"/>
        <v>2.4562693497435015</v>
      </c>
      <c r="M41" s="489">
        <f t="shared" si="2"/>
        <v>2.3776339203921513</v>
      </c>
      <c r="N41" s="488">
        <v>11988704.59</v>
      </c>
      <c r="O41" s="488">
        <v>8909564.7</v>
      </c>
      <c r="P41" s="488">
        <v>3079139.89</v>
      </c>
      <c r="Q41" s="489">
        <f t="shared" si="6"/>
        <v>2.224531827076091</v>
      </c>
      <c r="R41" s="489">
        <f t="shared" si="7"/>
        <v>2.196386765273687</v>
      </c>
      <c r="S41" s="502">
        <f t="shared" si="8"/>
        <v>2.310189866321486</v>
      </c>
    </row>
    <row r="42" spans="1:19" ht="13.5">
      <c r="A42" s="486" t="s">
        <v>456</v>
      </c>
      <c r="B42" s="487">
        <v>22160</v>
      </c>
      <c r="C42" s="488">
        <v>4096</v>
      </c>
      <c r="D42" s="487">
        <v>18064</v>
      </c>
      <c r="E42" s="489">
        <f t="shared" si="3"/>
        <v>1.3732637447216725</v>
      </c>
      <c r="F42" s="489">
        <f t="shared" si="4"/>
        <v>1.0911667705619403</v>
      </c>
      <c r="G42" s="489">
        <f t="shared" si="5"/>
        <v>1.4587788380161124</v>
      </c>
      <c r="H42" s="488">
        <v>131277</v>
      </c>
      <c r="I42" s="488">
        <v>32210</v>
      </c>
      <c r="J42" s="488">
        <v>99067</v>
      </c>
      <c r="K42" s="501">
        <f t="shared" si="0"/>
        <v>1.1344287284567685</v>
      </c>
      <c r="L42" s="489">
        <f t="shared" si="1"/>
        <v>0.8464547840462852</v>
      </c>
      <c r="M42" s="489">
        <f t="shared" si="2"/>
        <v>1.2755193678938692</v>
      </c>
      <c r="N42" s="488">
        <v>3555921.95</v>
      </c>
      <c r="O42" s="488">
        <v>2019039.22</v>
      </c>
      <c r="P42" s="488">
        <v>1536882.73</v>
      </c>
      <c r="Q42" s="489">
        <f t="shared" si="6"/>
        <v>0.6598095309623003</v>
      </c>
      <c r="R42" s="489">
        <f t="shared" si="7"/>
        <v>0.49773374689972316</v>
      </c>
      <c r="S42" s="502">
        <f t="shared" si="8"/>
        <v>1.1530787932374518</v>
      </c>
    </row>
    <row r="43" spans="1:19" ht="13.5">
      <c r="A43" s="486" t="s">
        <v>457</v>
      </c>
      <c r="B43" s="487">
        <v>12515</v>
      </c>
      <c r="C43" s="488">
        <v>2209</v>
      </c>
      <c r="D43" s="487">
        <v>10306</v>
      </c>
      <c r="E43" s="489">
        <f t="shared" si="3"/>
        <v>0.7755593756855474</v>
      </c>
      <c r="F43" s="489">
        <f t="shared" si="4"/>
        <v>0.5884734853933901</v>
      </c>
      <c r="G43" s="489">
        <f t="shared" si="5"/>
        <v>0.8322727360824875</v>
      </c>
      <c r="H43" s="488">
        <v>67520</v>
      </c>
      <c r="I43" s="488">
        <v>18402</v>
      </c>
      <c r="J43" s="488">
        <v>49118</v>
      </c>
      <c r="K43" s="501">
        <f t="shared" si="0"/>
        <v>0.5834733254522956</v>
      </c>
      <c r="L43" s="489">
        <f t="shared" si="1"/>
        <v>0.48359083936726915</v>
      </c>
      <c r="M43" s="489">
        <f t="shared" si="2"/>
        <v>0.6324099883130717</v>
      </c>
      <c r="N43" s="488">
        <v>1763003.23</v>
      </c>
      <c r="O43" s="488">
        <v>1011941.57</v>
      </c>
      <c r="P43" s="488">
        <v>751061.66</v>
      </c>
      <c r="Q43" s="489">
        <f t="shared" si="6"/>
        <v>0.32712932134838346</v>
      </c>
      <c r="R43" s="489">
        <f t="shared" si="7"/>
        <v>0.2494639352670368</v>
      </c>
      <c r="S43" s="502">
        <f t="shared" si="8"/>
        <v>0.5634999051357141</v>
      </c>
    </row>
    <row r="44" spans="1:19" ht="13.5">
      <c r="A44" s="486" t="s">
        <v>458</v>
      </c>
      <c r="B44" s="487">
        <v>15363</v>
      </c>
      <c r="C44" s="488">
        <v>3884</v>
      </c>
      <c r="D44" s="487">
        <v>11479</v>
      </c>
      <c r="E44" s="489">
        <f t="shared" si="3"/>
        <v>0.9520510338519429</v>
      </c>
      <c r="F44" s="489">
        <f t="shared" si="4"/>
        <v>1.0346903654449648</v>
      </c>
      <c r="G44" s="489">
        <f t="shared" si="5"/>
        <v>0.9269996834359475</v>
      </c>
      <c r="H44" s="488">
        <v>98588</v>
      </c>
      <c r="I44" s="488">
        <v>33624</v>
      </c>
      <c r="J44" s="488">
        <v>64964</v>
      </c>
      <c r="K44" s="501">
        <f t="shared" si="0"/>
        <v>0.8519471002620099</v>
      </c>
      <c r="L44" s="489">
        <f t="shared" si="1"/>
        <v>0.8836136497600835</v>
      </c>
      <c r="M44" s="489">
        <f t="shared" si="2"/>
        <v>0.8364323156637157</v>
      </c>
      <c r="N44" s="488">
        <v>3877323.72</v>
      </c>
      <c r="O44" s="488">
        <v>2767036.32</v>
      </c>
      <c r="P44" s="488">
        <v>1110287.4</v>
      </c>
      <c r="Q44" s="489">
        <f t="shared" si="6"/>
        <v>0.7194463717298973</v>
      </c>
      <c r="R44" s="489">
        <f t="shared" si="7"/>
        <v>0.6821300654878915</v>
      </c>
      <c r="S44" s="502">
        <f t="shared" si="8"/>
        <v>0.8330166188663906</v>
      </c>
    </row>
    <row r="45" spans="1:19" ht="13.5">
      <c r="A45" s="486" t="s">
        <v>459</v>
      </c>
      <c r="B45" s="487">
        <v>22051</v>
      </c>
      <c r="C45" s="488">
        <v>4601</v>
      </c>
      <c r="D45" s="487">
        <v>17450</v>
      </c>
      <c r="E45" s="489">
        <f t="shared" si="3"/>
        <v>1.36650897269213</v>
      </c>
      <c r="F45" s="489">
        <f t="shared" si="4"/>
        <v>1.2256978299207733</v>
      </c>
      <c r="G45" s="489">
        <f t="shared" si="5"/>
        <v>1.4091945706034745</v>
      </c>
      <c r="H45" s="488">
        <v>128711</v>
      </c>
      <c r="I45" s="488">
        <v>37403</v>
      </c>
      <c r="J45" s="488">
        <v>91308</v>
      </c>
      <c r="K45" s="501">
        <f t="shared" si="0"/>
        <v>1.1122546681322631</v>
      </c>
      <c r="L45" s="489">
        <f t="shared" si="1"/>
        <v>0.9829229521168334</v>
      </c>
      <c r="M45" s="489">
        <f t="shared" si="2"/>
        <v>1.1756197567671718</v>
      </c>
      <c r="N45" s="488">
        <v>3804666.07</v>
      </c>
      <c r="O45" s="488">
        <v>2373270.42</v>
      </c>
      <c r="P45" s="488">
        <v>1431395.65</v>
      </c>
      <c r="Q45" s="489">
        <f t="shared" si="6"/>
        <v>0.705964576954474</v>
      </c>
      <c r="R45" s="489">
        <f t="shared" si="7"/>
        <v>0.5850588571295211</v>
      </c>
      <c r="S45" s="502">
        <f t="shared" si="8"/>
        <v>1.073934879043984</v>
      </c>
    </row>
    <row r="46" spans="1:19" ht="13.5">
      <c r="A46" s="486" t="s">
        <v>460</v>
      </c>
      <c r="B46" s="487">
        <v>12542</v>
      </c>
      <c r="C46" s="488">
        <v>2192</v>
      </c>
      <c r="D46" s="487">
        <v>10350</v>
      </c>
      <c r="E46" s="489">
        <f t="shared" si="3"/>
        <v>0.777232576096535</v>
      </c>
      <c r="F46" s="489">
        <f t="shared" si="4"/>
        <v>0.5839447170585382</v>
      </c>
      <c r="G46" s="489">
        <f t="shared" si="5"/>
        <v>0.8358260060599405</v>
      </c>
      <c r="H46" s="488">
        <v>70344</v>
      </c>
      <c r="I46" s="488">
        <v>17918</v>
      </c>
      <c r="J46" s="488">
        <v>52426</v>
      </c>
      <c r="K46" s="501">
        <f t="shared" si="0"/>
        <v>0.607876889893606</v>
      </c>
      <c r="L46" s="489">
        <f t="shared" si="1"/>
        <v>0.47087168024033954</v>
      </c>
      <c r="M46" s="489">
        <f t="shared" si="2"/>
        <v>0.6750015482572803</v>
      </c>
      <c r="N46" s="488">
        <v>1662792.2</v>
      </c>
      <c r="O46" s="488">
        <v>890729.24</v>
      </c>
      <c r="P46" s="488">
        <v>772062.96</v>
      </c>
      <c r="Q46" s="489">
        <f t="shared" si="6"/>
        <v>0.3085349332737102</v>
      </c>
      <c r="R46" s="489">
        <f t="shared" si="7"/>
        <v>0.2195826597654417</v>
      </c>
      <c r="S46" s="502">
        <f t="shared" si="8"/>
        <v>0.5792565749113044</v>
      </c>
    </row>
    <row r="47" spans="1:19" ht="13.5">
      <c r="A47" s="486" t="s">
        <v>461</v>
      </c>
      <c r="B47" s="487">
        <v>69410</v>
      </c>
      <c r="C47" s="488">
        <v>16718</v>
      </c>
      <c r="D47" s="487">
        <v>52692</v>
      </c>
      <c r="E47" s="489">
        <f t="shared" si="3"/>
        <v>4.301364463949968</v>
      </c>
      <c r="F47" s="489">
        <f t="shared" si="4"/>
        <v>4.453644060120732</v>
      </c>
      <c r="G47" s="489">
        <f t="shared" si="5"/>
        <v>4.255202310271534</v>
      </c>
      <c r="H47" s="488">
        <v>499131</v>
      </c>
      <c r="I47" s="488">
        <v>172744</v>
      </c>
      <c r="J47" s="488">
        <v>326387</v>
      </c>
      <c r="K47" s="501">
        <f t="shared" si="0"/>
        <v>4.313234958624552</v>
      </c>
      <c r="L47" s="489">
        <f t="shared" si="1"/>
        <v>4.539583521120505</v>
      </c>
      <c r="M47" s="489">
        <f t="shared" si="2"/>
        <v>4.2023372054142785</v>
      </c>
      <c r="N47" s="488">
        <v>21716657.93</v>
      </c>
      <c r="O47" s="488">
        <v>16366545.38</v>
      </c>
      <c r="P47" s="488">
        <v>5350112.55</v>
      </c>
      <c r="Q47" s="489">
        <f t="shared" si="6"/>
        <v>4.029576038040435</v>
      </c>
      <c r="R47" s="489">
        <f t="shared" si="7"/>
        <v>4.034682375210004</v>
      </c>
      <c r="S47" s="502">
        <f t="shared" si="8"/>
        <v>4.014035165089366</v>
      </c>
    </row>
    <row r="48" spans="1:19" ht="13.5">
      <c r="A48" s="486" t="s">
        <v>462</v>
      </c>
      <c r="B48" s="487">
        <v>12657</v>
      </c>
      <c r="C48" s="488">
        <v>2316</v>
      </c>
      <c r="D48" s="487">
        <v>10341</v>
      </c>
      <c r="E48" s="489">
        <f t="shared" si="3"/>
        <v>0.7843591704396304</v>
      </c>
      <c r="F48" s="489">
        <f t="shared" si="4"/>
        <v>0.6169780860892221</v>
      </c>
      <c r="G48" s="489">
        <f t="shared" si="5"/>
        <v>0.8350992008372795</v>
      </c>
      <c r="H48" s="488">
        <v>72943</v>
      </c>
      <c r="I48" s="488">
        <v>17911</v>
      </c>
      <c r="J48" s="488">
        <v>55032</v>
      </c>
      <c r="K48" s="501">
        <f t="shared" si="0"/>
        <v>0.6303361193493304</v>
      </c>
      <c r="L48" s="489">
        <f t="shared" si="1"/>
        <v>0.4706877254595782</v>
      </c>
      <c r="M48" s="489">
        <f t="shared" si="2"/>
        <v>0.7085546332677422</v>
      </c>
      <c r="N48" s="488">
        <v>1907941.02</v>
      </c>
      <c r="O48" s="488">
        <v>1071342.46</v>
      </c>
      <c r="P48" s="488">
        <v>836598.56</v>
      </c>
      <c r="Q48" s="489">
        <f t="shared" si="6"/>
        <v>0.3540228630467923</v>
      </c>
      <c r="R48" s="489">
        <f t="shared" si="7"/>
        <v>0.2641074485064073</v>
      </c>
      <c r="S48" s="502">
        <f t="shared" si="8"/>
        <v>0.6276757745784481</v>
      </c>
    </row>
    <row r="49" spans="1:19" ht="13.5">
      <c r="A49" s="486" t="s">
        <v>463</v>
      </c>
      <c r="B49" s="487">
        <v>22633</v>
      </c>
      <c r="C49" s="488">
        <v>4183</v>
      </c>
      <c r="D49" s="487">
        <v>18450</v>
      </c>
      <c r="E49" s="489">
        <f t="shared" si="3"/>
        <v>1.4025757371067515</v>
      </c>
      <c r="F49" s="489">
        <f t="shared" si="4"/>
        <v>1.1143434085108876</v>
      </c>
      <c r="G49" s="489">
        <f t="shared" si="5"/>
        <v>1.4899507064546764</v>
      </c>
      <c r="H49" s="488">
        <v>128414</v>
      </c>
      <c r="I49" s="488">
        <v>33887</v>
      </c>
      <c r="J49" s="488">
        <v>94527</v>
      </c>
      <c r="K49" s="501">
        <f t="shared" si="0"/>
        <v>1.1096881459512895</v>
      </c>
      <c r="L49" s="489">
        <f t="shared" si="1"/>
        <v>0.8905250936658325</v>
      </c>
      <c r="M49" s="489">
        <f t="shared" si="2"/>
        <v>1.2170654131941392</v>
      </c>
      <c r="N49" s="488">
        <v>3361222.28</v>
      </c>
      <c r="O49" s="488">
        <v>1894725.24</v>
      </c>
      <c r="P49" s="488">
        <v>1466497.04</v>
      </c>
      <c r="Q49" s="489">
        <f t="shared" si="6"/>
        <v>0.6236825574945011</v>
      </c>
      <c r="R49" s="489">
        <f t="shared" si="7"/>
        <v>0.4670878523353683</v>
      </c>
      <c r="S49" s="502">
        <f t="shared" si="8"/>
        <v>1.1002704397423317</v>
      </c>
    </row>
    <row r="50" spans="1:19" ht="13.5">
      <c r="A50" s="486" t="s">
        <v>464</v>
      </c>
      <c r="B50" s="487">
        <v>25273</v>
      </c>
      <c r="C50" s="488">
        <v>4738</v>
      </c>
      <c r="D50" s="487">
        <v>20535</v>
      </c>
      <c r="E50" s="489">
        <f t="shared" si="3"/>
        <v>1.5661775550699832</v>
      </c>
      <c r="F50" s="489">
        <f t="shared" si="4"/>
        <v>1.262194374736932</v>
      </c>
      <c r="G50" s="489">
        <f t="shared" si="5"/>
        <v>1.6583272497044326</v>
      </c>
      <c r="H50" s="488">
        <v>160835</v>
      </c>
      <c r="I50" s="488">
        <v>40967</v>
      </c>
      <c r="J50" s="488">
        <v>119868</v>
      </c>
      <c r="K50" s="501">
        <f t="shared" si="0"/>
        <v>1.3898538551409945</v>
      </c>
      <c r="L50" s="489">
        <f t="shared" si="1"/>
        <v>1.0765822147787696</v>
      </c>
      <c r="M50" s="489">
        <f t="shared" si="2"/>
        <v>1.5433389079178972</v>
      </c>
      <c r="N50" s="488">
        <v>4110830.27</v>
      </c>
      <c r="O50" s="488">
        <v>2321861.47</v>
      </c>
      <c r="P50" s="488">
        <v>1788968.8</v>
      </c>
      <c r="Q50" s="489">
        <f t="shared" si="6"/>
        <v>0.7627740514142405</v>
      </c>
      <c r="R50" s="489">
        <f t="shared" si="7"/>
        <v>0.5723855177242171</v>
      </c>
      <c r="S50" s="502">
        <f t="shared" si="8"/>
        <v>1.3422117021533924</v>
      </c>
    </row>
    <row r="51" spans="1:19" ht="13.5">
      <c r="A51" s="486" t="s">
        <v>465</v>
      </c>
      <c r="B51" s="487">
        <v>17985</v>
      </c>
      <c r="C51" s="488">
        <v>3472</v>
      </c>
      <c r="D51" s="487">
        <v>14513</v>
      </c>
      <c r="E51" s="489">
        <f t="shared" si="3"/>
        <v>1.1145373848745161</v>
      </c>
      <c r="F51" s="489">
        <f t="shared" si="4"/>
        <v>0.9249343328591446</v>
      </c>
      <c r="G51" s="489">
        <f t="shared" si="5"/>
        <v>1.1720137996084943</v>
      </c>
      <c r="H51" s="488">
        <v>104619</v>
      </c>
      <c r="I51" s="488">
        <v>26108</v>
      </c>
      <c r="J51" s="488">
        <v>78511</v>
      </c>
      <c r="K51" s="501">
        <f t="shared" si="0"/>
        <v>0.9040639193645394</v>
      </c>
      <c r="L51" s="489">
        <f t="shared" si="1"/>
        <v>0.6860987737311521</v>
      </c>
      <c r="M51" s="489">
        <f t="shared" si="2"/>
        <v>1.0108542813723598</v>
      </c>
      <c r="N51" s="488">
        <v>2587593.77</v>
      </c>
      <c r="O51" s="488">
        <v>1372364.52</v>
      </c>
      <c r="P51" s="488">
        <v>1215229.25</v>
      </c>
      <c r="Q51" s="489">
        <f t="shared" si="6"/>
        <v>0.48013400060838524</v>
      </c>
      <c r="R51" s="489">
        <f t="shared" si="7"/>
        <v>0.3383154363152193</v>
      </c>
      <c r="S51" s="502">
        <f t="shared" si="8"/>
        <v>0.9117514627136539</v>
      </c>
    </row>
    <row r="52" spans="1:19" ht="13.5">
      <c r="A52" s="486" t="s">
        <v>466</v>
      </c>
      <c r="B52" s="487">
        <v>16795</v>
      </c>
      <c r="C52" s="488">
        <v>3250</v>
      </c>
      <c r="D52" s="487">
        <v>13545</v>
      </c>
      <c r="E52" s="489">
        <f t="shared" si="3"/>
        <v>1.0407926260198774</v>
      </c>
      <c r="F52" s="489">
        <f t="shared" si="4"/>
        <v>0.8657939463687269</v>
      </c>
      <c r="G52" s="489">
        <f t="shared" si="5"/>
        <v>1.0938418601045308</v>
      </c>
      <c r="H52" s="488">
        <v>100532</v>
      </c>
      <c r="I52" s="488">
        <v>25821</v>
      </c>
      <c r="J52" s="488">
        <v>74711</v>
      </c>
      <c r="K52" s="501">
        <f t="shared" si="0"/>
        <v>0.8687461545374731</v>
      </c>
      <c r="L52" s="489">
        <f t="shared" si="1"/>
        <v>0.6785566277199357</v>
      </c>
      <c r="M52" s="489">
        <f t="shared" si="2"/>
        <v>0.9619280637822772</v>
      </c>
      <c r="N52" s="488">
        <v>2690351.66</v>
      </c>
      <c r="O52" s="488">
        <v>1540926.38</v>
      </c>
      <c r="P52" s="488">
        <v>1149425.28</v>
      </c>
      <c r="Q52" s="489">
        <f t="shared" si="6"/>
        <v>0.4992009644385603</v>
      </c>
      <c r="R52" s="489">
        <f t="shared" si="7"/>
        <v>0.37986932260485096</v>
      </c>
      <c r="S52" s="502">
        <f t="shared" si="8"/>
        <v>0.8623806416114913</v>
      </c>
    </row>
    <row r="53" spans="1:19" ht="13.5">
      <c r="A53" s="486" t="s">
        <v>467</v>
      </c>
      <c r="B53" s="487">
        <v>26180</v>
      </c>
      <c r="C53" s="488">
        <v>4681</v>
      </c>
      <c r="D53" s="487">
        <v>21499</v>
      </c>
      <c r="E53" s="489">
        <f t="shared" si="3"/>
        <v>1.6223846948020482</v>
      </c>
      <c r="F53" s="489">
        <f t="shared" si="4"/>
        <v>1.247009680908311</v>
      </c>
      <c r="G53" s="489">
        <f t="shared" si="5"/>
        <v>1.7361761646649914</v>
      </c>
      <c r="H53" s="488">
        <v>146464</v>
      </c>
      <c r="I53" s="488">
        <v>38359</v>
      </c>
      <c r="J53" s="488">
        <v>108105</v>
      </c>
      <c r="K53" s="501">
        <f t="shared" si="0"/>
        <v>1.2656670192394108</v>
      </c>
      <c r="L53" s="489">
        <f t="shared" si="1"/>
        <v>1.0080459193179587</v>
      </c>
      <c r="M53" s="489">
        <f t="shared" si="2"/>
        <v>1.391886513835755</v>
      </c>
      <c r="N53" s="488">
        <v>4243188.5</v>
      </c>
      <c r="O53" s="488">
        <v>2591713.2</v>
      </c>
      <c r="P53" s="488">
        <v>1651475.3</v>
      </c>
      <c r="Q53" s="489">
        <f t="shared" si="6"/>
        <v>0.7873334266995445</v>
      </c>
      <c r="R53" s="489">
        <f t="shared" si="7"/>
        <v>0.6389093927187168</v>
      </c>
      <c r="S53" s="502">
        <f t="shared" si="8"/>
        <v>1.2390542940029385</v>
      </c>
    </row>
    <row r="54" spans="1:19" ht="14.25" thickBot="1">
      <c r="A54" s="494" t="s">
        <v>468</v>
      </c>
      <c r="B54" s="495">
        <v>19324</v>
      </c>
      <c r="C54" s="496">
        <v>3300</v>
      </c>
      <c r="D54" s="495">
        <v>16024</v>
      </c>
      <c r="E54" s="497">
        <f t="shared" si="3"/>
        <v>1.1975157311823825</v>
      </c>
      <c r="F54" s="497">
        <f t="shared" si="4"/>
        <v>0.879113853235938</v>
      </c>
      <c r="G54" s="497">
        <f t="shared" si="5"/>
        <v>1.2940363208796606</v>
      </c>
      <c r="H54" s="496">
        <v>111265</v>
      </c>
      <c r="I54" s="496">
        <v>30582</v>
      </c>
      <c r="J54" s="496">
        <v>80683</v>
      </c>
      <c r="K54" s="505">
        <f t="shared" si="0"/>
        <v>0.9614952540943374</v>
      </c>
      <c r="L54" s="497">
        <f t="shared" si="1"/>
        <v>0.8036721578920674</v>
      </c>
      <c r="M54" s="497">
        <f t="shared" si="2"/>
        <v>1.0388194773212174</v>
      </c>
      <c r="N54" s="496">
        <v>2485110.06</v>
      </c>
      <c r="O54" s="496">
        <v>1469363.57</v>
      </c>
      <c r="P54" s="496">
        <v>1015746.49</v>
      </c>
      <c r="Q54" s="497">
        <f t="shared" si="6"/>
        <v>0.4611179115104858</v>
      </c>
      <c r="R54" s="497">
        <f t="shared" si="7"/>
        <v>0.36222765165208315</v>
      </c>
      <c r="S54" s="506">
        <f t="shared" si="8"/>
        <v>0.7620853003692595</v>
      </c>
    </row>
    <row r="55" spans="1:19" ht="15" customHeight="1">
      <c r="A55" s="643" t="s">
        <v>469</v>
      </c>
      <c r="B55" s="643"/>
      <c r="C55" s="643"/>
      <c r="D55" s="643"/>
      <c r="E55" s="643"/>
      <c r="F55" s="643"/>
      <c r="G55" s="643"/>
      <c r="H55" s="643"/>
      <c r="I55" s="643"/>
      <c r="J55" s="643"/>
      <c r="K55" s="507"/>
      <c r="L55" s="507"/>
      <c r="M55" s="507"/>
      <c r="N55" s="508"/>
      <c r="O55" s="508"/>
      <c r="P55" s="508"/>
      <c r="Q55" s="507"/>
      <c r="R55" s="507"/>
      <c r="S55" s="507"/>
    </row>
    <row r="61" ht="13.5">
      <c r="H61" s="498"/>
    </row>
  </sheetData>
  <mergeCells count="11">
    <mergeCell ref="A55:J55"/>
    <mergeCell ref="A2:A4"/>
    <mergeCell ref="B2:G2"/>
    <mergeCell ref="H2:M2"/>
    <mergeCell ref="N2:S2"/>
    <mergeCell ref="B3:D3"/>
    <mergeCell ref="E3:G3"/>
    <mergeCell ref="H3:J3"/>
    <mergeCell ref="K3:M3"/>
    <mergeCell ref="N3:P3"/>
    <mergeCell ref="Q3:S3"/>
  </mergeCells>
  <printOptions/>
  <pageMargins left="0.75" right="0.75" top="1" bottom="1" header="0.512" footer="0.51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44"/>
  </sheetPr>
  <dimension ref="B1:L54"/>
  <sheetViews>
    <sheetView zoomScale="60" zoomScaleNormal="60" workbookViewId="0" topLeftCell="A1">
      <selection activeCell="B1" sqref="B1"/>
    </sheetView>
  </sheetViews>
  <sheetFormatPr defaultColWidth="9.00390625" defaultRowHeight="13.5"/>
  <cols>
    <col min="1" max="1" width="3.625" style="0" customWidth="1"/>
    <col min="2" max="2" width="25.50390625" style="0" customWidth="1"/>
    <col min="9" max="9" width="10.75390625" style="0" customWidth="1"/>
    <col min="10" max="10" width="12.00390625" style="35" customWidth="1"/>
    <col min="11" max="12" width="8.625" style="28" customWidth="1"/>
  </cols>
  <sheetData>
    <row r="1" ht="18.75" customHeight="1">
      <c r="B1" s="466" t="s">
        <v>138</v>
      </c>
    </row>
    <row r="2" ht="19.5" customHeight="1">
      <c r="B2" s="95"/>
    </row>
    <row r="3" spans="2:12" ht="19.5" customHeight="1">
      <c r="B3" s="103"/>
      <c r="C3" s="104"/>
      <c r="D3" s="104"/>
      <c r="E3" s="104"/>
      <c r="F3" s="104"/>
      <c r="G3" s="104"/>
      <c r="H3" s="104"/>
      <c r="I3" s="104"/>
      <c r="J3" s="105"/>
      <c r="K3" s="106"/>
      <c r="L3" s="107"/>
    </row>
    <row r="4" spans="2:12" ht="19.5" customHeight="1">
      <c r="B4" s="573" t="s">
        <v>140</v>
      </c>
      <c r="C4" s="574"/>
      <c r="D4" s="574"/>
      <c r="E4" s="574"/>
      <c r="F4" s="574"/>
      <c r="G4" s="574"/>
      <c r="H4" s="574"/>
      <c r="I4" s="574"/>
      <c r="J4" s="574"/>
      <c r="K4" s="574"/>
      <c r="L4" s="109"/>
    </row>
    <row r="5" spans="2:12" ht="19.5" customHeight="1">
      <c r="B5" s="108"/>
      <c r="C5" s="575" t="s">
        <v>141</v>
      </c>
      <c r="D5" s="575"/>
      <c r="E5" s="575"/>
      <c r="F5" s="575"/>
      <c r="G5" s="575"/>
      <c r="H5" s="575"/>
      <c r="I5" s="575"/>
      <c r="J5" s="575"/>
      <c r="K5" s="74"/>
      <c r="L5" s="109"/>
    </row>
    <row r="6" spans="2:12" ht="19.5" customHeight="1">
      <c r="B6" s="108"/>
      <c r="C6" s="575" t="s">
        <v>142</v>
      </c>
      <c r="D6" s="575"/>
      <c r="E6" s="575"/>
      <c r="F6" s="575"/>
      <c r="G6" s="575"/>
      <c r="H6" s="575"/>
      <c r="I6" s="575"/>
      <c r="J6" s="575"/>
      <c r="K6" s="74"/>
      <c r="L6" s="109"/>
    </row>
    <row r="7" spans="2:12" ht="19.5" customHeight="1">
      <c r="B7" s="92"/>
      <c r="C7" s="119"/>
      <c r="D7" s="119"/>
      <c r="E7" s="119"/>
      <c r="F7" s="119"/>
      <c r="G7" s="119"/>
      <c r="H7" s="119"/>
      <c r="I7" s="119"/>
      <c r="J7" s="120"/>
      <c r="K7" s="121"/>
      <c r="L7" s="122"/>
    </row>
    <row r="8" spans="2:12" ht="19.5" customHeight="1">
      <c r="B8" s="123"/>
      <c r="C8" s="1"/>
      <c r="D8" s="1"/>
      <c r="E8" s="1"/>
      <c r="F8" s="1"/>
      <c r="G8" s="1"/>
      <c r="H8" s="1"/>
      <c r="I8" s="1"/>
      <c r="J8" s="53"/>
      <c r="K8" s="74"/>
      <c r="L8" s="74"/>
    </row>
    <row r="9" spans="2:12" ht="19.5" customHeight="1">
      <c r="B9" s="137" t="s">
        <v>143</v>
      </c>
      <c r="C9" s="1"/>
      <c r="D9" s="1"/>
      <c r="E9" s="1"/>
      <c r="F9" s="1"/>
      <c r="G9" s="1"/>
      <c r="H9" s="1"/>
      <c r="I9" s="1"/>
      <c r="J9" s="53"/>
      <c r="K9" s="74"/>
      <c r="L9" s="74"/>
    </row>
    <row r="10" spans="2:12" s="128" customFormat="1" ht="19.5" customHeight="1">
      <c r="B10" s="467" t="s">
        <v>144</v>
      </c>
      <c r="C10" s="125"/>
      <c r="D10" s="125"/>
      <c r="E10" s="125"/>
      <c r="F10" s="125"/>
      <c r="G10" s="125"/>
      <c r="H10" s="125"/>
      <c r="I10" s="125"/>
      <c r="J10" s="126"/>
      <c r="K10" s="127"/>
      <c r="L10" s="127"/>
    </row>
    <row r="11" spans="2:12" ht="19.5" customHeight="1">
      <c r="B11" s="1"/>
      <c r="C11" s="1"/>
      <c r="D11" s="1"/>
      <c r="E11" s="1"/>
      <c r="F11" s="1"/>
      <c r="G11" s="1"/>
      <c r="H11" s="1"/>
      <c r="I11" s="1"/>
      <c r="J11" s="53"/>
      <c r="K11" s="74"/>
      <c r="L11" s="74"/>
    </row>
    <row r="12" spans="2:3" ht="19.5" customHeight="1" thickBot="1">
      <c r="B12" s="591" t="s">
        <v>139</v>
      </c>
      <c r="C12" s="591"/>
    </row>
    <row r="13" spans="2:12" ht="19.5" customHeight="1" thickBot="1">
      <c r="B13" s="2"/>
      <c r="C13" s="600" t="s">
        <v>16</v>
      </c>
      <c r="D13" s="601"/>
      <c r="E13" s="601"/>
      <c r="F13" s="601"/>
      <c r="G13" s="601"/>
      <c r="H13" s="584"/>
      <c r="I13" s="14" t="s">
        <v>30</v>
      </c>
      <c r="J13" s="29" t="s">
        <v>19</v>
      </c>
      <c r="K13" s="576" t="s">
        <v>31</v>
      </c>
      <c r="L13" s="577"/>
    </row>
    <row r="14" spans="2:12" ht="19.5" customHeight="1" thickBot="1">
      <c r="B14" s="13" t="s">
        <v>22</v>
      </c>
      <c r="C14" s="600" t="s">
        <v>23</v>
      </c>
      <c r="D14" s="601"/>
      <c r="E14" s="584"/>
      <c r="F14" s="600" t="s">
        <v>27</v>
      </c>
      <c r="G14" s="601"/>
      <c r="H14" s="584"/>
      <c r="I14" s="3"/>
      <c r="J14" s="30"/>
      <c r="K14" s="36"/>
      <c r="L14" s="37"/>
    </row>
    <row r="15" spans="2:12" ht="19.5" customHeight="1" thickBot="1">
      <c r="B15" s="3"/>
      <c r="C15" s="6" t="s">
        <v>24</v>
      </c>
      <c r="D15" s="6" t="s">
        <v>25</v>
      </c>
      <c r="E15" s="15" t="s">
        <v>26</v>
      </c>
      <c r="F15" s="6" t="s">
        <v>24</v>
      </c>
      <c r="G15" s="6" t="s">
        <v>25</v>
      </c>
      <c r="H15" s="15" t="s">
        <v>26</v>
      </c>
      <c r="I15" s="15" t="s">
        <v>28</v>
      </c>
      <c r="J15" s="31" t="s">
        <v>29</v>
      </c>
      <c r="K15" s="55" t="s">
        <v>48</v>
      </c>
      <c r="L15" s="56" t="s">
        <v>49</v>
      </c>
    </row>
    <row r="16" spans="2:12" ht="19.5" customHeight="1" thickBot="1">
      <c r="B16" s="64"/>
      <c r="C16" s="85"/>
      <c r="D16" s="124"/>
      <c r="E16" s="124"/>
      <c r="F16" s="85"/>
      <c r="G16" s="124"/>
      <c r="H16" s="124"/>
      <c r="I16" s="85"/>
      <c r="J16" s="29"/>
      <c r="K16" s="93"/>
      <c r="L16" s="94"/>
    </row>
    <row r="17" spans="2:12" ht="19.5" customHeight="1">
      <c r="B17" s="2"/>
      <c r="C17" s="16" t="s">
        <v>32</v>
      </c>
      <c r="D17" s="17" t="s">
        <v>32</v>
      </c>
      <c r="E17" s="17" t="s">
        <v>32</v>
      </c>
      <c r="F17" s="16" t="s">
        <v>32</v>
      </c>
      <c r="G17" s="17" t="s">
        <v>32</v>
      </c>
      <c r="H17" s="17" t="s">
        <v>32</v>
      </c>
      <c r="I17" s="16" t="s">
        <v>32</v>
      </c>
      <c r="J17" s="32" t="s">
        <v>42</v>
      </c>
      <c r="K17" s="38" t="s">
        <v>42</v>
      </c>
      <c r="L17" s="39" t="s">
        <v>42</v>
      </c>
    </row>
    <row r="18" spans="2:12" s="49" customFormat="1" ht="19.5" customHeight="1">
      <c r="B18" s="42" t="s">
        <v>33</v>
      </c>
      <c r="C18" s="43">
        <f>SUM(D18:E18)</f>
        <v>18047</v>
      </c>
      <c r="D18" s="44">
        <v>8031</v>
      </c>
      <c r="E18" s="45">
        <v>10016</v>
      </c>
      <c r="F18" s="43">
        <v>17522</v>
      </c>
      <c r="G18" s="44">
        <f>F18-H18</f>
        <v>8133</v>
      </c>
      <c r="H18" s="45">
        <v>9389</v>
      </c>
      <c r="I18" s="42">
        <f>F18-C18</f>
        <v>-525</v>
      </c>
      <c r="J18" s="46">
        <f>(F18/C18-1)*100</f>
        <v>-2.9090707596830523</v>
      </c>
      <c r="K18" s="47"/>
      <c r="L18" s="48"/>
    </row>
    <row r="19" spans="2:12" s="22" customFormat="1" ht="19.5" customHeight="1">
      <c r="B19" s="18"/>
      <c r="C19" s="19"/>
      <c r="D19" s="20"/>
      <c r="E19" s="21"/>
      <c r="F19" s="19"/>
      <c r="G19" s="20"/>
      <c r="H19" s="21"/>
      <c r="I19" s="18"/>
      <c r="J19" s="33"/>
      <c r="K19" s="40"/>
      <c r="L19" s="41"/>
    </row>
    <row r="20" spans="2:12" s="49" customFormat="1" ht="19.5" customHeight="1">
      <c r="B20" s="42" t="s">
        <v>94</v>
      </c>
      <c r="C20" s="43">
        <f aca="true" t="shared" si="0" ref="C20:C39">SUM(D20:E20)</f>
        <v>3052</v>
      </c>
      <c r="D20" s="44">
        <v>2335</v>
      </c>
      <c r="E20" s="45">
        <v>717</v>
      </c>
      <c r="F20" s="43">
        <v>3059</v>
      </c>
      <c r="G20" s="44">
        <f aca="true" t="shared" si="1" ref="G20:G39">F20-H20</f>
        <v>2377</v>
      </c>
      <c r="H20" s="45">
        <v>682</v>
      </c>
      <c r="I20" s="42">
        <f aca="true" t="shared" si="2" ref="I20:I39">F20-C20</f>
        <v>7</v>
      </c>
      <c r="J20" s="46">
        <f aca="true" t="shared" si="3" ref="J20:J39">(F20/C20-1)*100</f>
        <v>0.2293577981651307</v>
      </c>
      <c r="K20" s="47">
        <v>100</v>
      </c>
      <c r="L20" s="48">
        <v>100</v>
      </c>
    </row>
    <row r="21" spans="2:12" s="22" customFormat="1" ht="19.5" customHeight="1">
      <c r="B21" s="18"/>
      <c r="C21" s="19"/>
      <c r="D21" s="20"/>
      <c r="E21" s="21"/>
      <c r="F21" s="19"/>
      <c r="G21" s="20"/>
      <c r="H21" s="21"/>
      <c r="I21" s="18"/>
      <c r="J21" s="33"/>
      <c r="K21" s="40"/>
      <c r="L21" s="41"/>
    </row>
    <row r="22" spans="2:12" s="22" customFormat="1" ht="19.5" customHeight="1">
      <c r="B22" s="18" t="s">
        <v>35</v>
      </c>
      <c r="C22" s="19">
        <f t="shared" si="0"/>
        <v>10</v>
      </c>
      <c r="D22" s="20">
        <v>10</v>
      </c>
      <c r="E22" s="21">
        <v>0</v>
      </c>
      <c r="F22" s="19">
        <v>15</v>
      </c>
      <c r="G22" s="20">
        <f t="shared" si="1"/>
        <v>15</v>
      </c>
      <c r="H22" s="21">
        <v>0</v>
      </c>
      <c r="I22" s="18">
        <f t="shared" si="2"/>
        <v>5</v>
      </c>
      <c r="J22" s="33">
        <f t="shared" si="3"/>
        <v>50</v>
      </c>
      <c r="K22" s="40">
        <v>0.3</v>
      </c>
      <c r="L22" s="41">
        <f>F22/F20*100</f>
        <v>0.49035632559660014</v>
      </c>
    </row>
    <row r="23" spans="2:12" s="22" customFormat="1" ht="19.5" customHeight="1">
      <c r="B23" s="18" t="s">
        <v>36</v>
      </c>
      <c r="C23" s="19">
        <f t="shared" si="0"/>
        <v>86</v>
      </c>
      <c r="D23" s="20">
        <v>65</v>
      </c>
      <c r="E23" s="21">
        <v>21</v>
      </c>
      <c r="F23" s="19">
        <v>85</v>
      </c>
      <c r="G23" s="20">
        <f t="shared" si="1"/>
        <v>67</v>
      </c>
      <c r="H23" s="21">
        <v>18</v>
      </c>
      <c r="I23" s="18">
        <f t="shared" si="2"/>
        <v>-1</v>
      </c>
      <c r="J23" s="33">
        <f t="shared" si="3"/>
        <v>-1.1627906976744207</v>
      </c>
      <c r="K23" s="40">
        <v>2.8</v>
      </c>
      <c r="L23" s="41">
        <f>F23/F20*100</f>
        <v>2.778685845047401</v>
      </c>
    </row>
    <row r="24" spans="2:12" s="22" customFormat="1" ht="19.5" customHeight="1">
      <c r="B24" s="18" t="s">
        <v>37</v>
      </c>
      <c r="C24" s="19">
        <f t="shared" si="0"/>
        <v>888</v>
      </c>
      <c r="D24" s="20">
        <v>584</v>
      </c>
      <c r="E24" s="21">
        <v>304</v>
      </c>
      <c r="F24" s="19">
        <v>859</v>
      </c>
      <c r="G24" s="20">
        <f t="shared" si="1"/>
        <v>578</v>
      </c>
      <c r="H24" s="21">
        <v>281</v>
      </c>
      <c r="I24" s="18">
        <f t="shared" si="2"/>
        <v>-29</v>
      </c>
      <c r="J24" s="33">
        <f t="shared" si="3"/>
        <v>-3.2657657657657713</v>
      </c>
      <c r="K24" s="40">
        <v>29.1</v>
      </c>
      <c r="L24" s="41">
        <f>F24/F20*100</f>
        <v>28.081072245831972</v>
      </c>
    </row>
    <row r="25" spans="2:12" s="22" customFormat="1" ht="19.5" customHeight="1">
      <c r="B25" s="18" t="s">
        <v>38</v>
      </c>
      <c r="C25" s="19"/>
      <c r="D25" s="20"/>
      <c r="E25" s="21"/>
      <c r="F25" s="19"/>
      <c r="G25" s="20"/>
      <c r="H25" s="21"/>
      <c r="I25" s="18"/>
      <c r="J25" s="33"/>
      <c r="K25" s="40"/>
      <c r="L25" s="41"/>
    </row>
    <row r="26" spans="2:12" s="22" customFormat="1" ht="19.5" customHeight="1">
      <c r="B26" s="18" t="s">
        <v>39</v>
      </c>
      <c r="C26" s="19">
        <f t="shared" si="0"/>
        <v>769</v>
      </c>
      <c r="D26" s="20">
        <v>615</v>
      </c>
      <c r="E26" s="21">
        <v>154</v>
      </c>
      <c r="F26" s="19">
        <v>798</v>
      </c>
      <c r="G26" s="20">
        <f t="shared" si="1"/>
        <v>638</v>
      </c>
      <c r="H26" s="21">
        <v>160</v>
      </c>
      <c r="I26" s="18">
        <f t="shared" si="2"/>
        <v>29</v>
      </c>
      <c r="J26" s="33">
        <f t="shared" si="3"/>
        <v>3.771131339401812</v>
      </c>
      <c r="K26" s="40">
        <v>25.2</v>
      </c>
      <c r="L26" s="41">
        <f>F26/3059*100</f>
        <v>26.08695652173913</v>
      </c>
    </row>
    <row r="27" spans="2:12" s="22" customFormat="1" ht="19.5" customHeight="1">
      <c r="B27" s="18" t="s">
        <v>40</v>
      </c>
      <c r="C27" s="19">
        <f t="shared" si="0"/>
        <v>724</v>
      </c>
      <c r="D27" s="20">
        <v>651</v>
      </c>
      <c r="E27" s="21">
        <v>73</v>
      </c>
      <c r="F27" s="19">
        <v>734</v>
      </c>
      <c r="G27" s="20">
        <f t="shared" si="1"/>
        <v>675</v>
      </c>
      <c r="H27" s="21">
        <v>59</v>
      </c>
      <c r="I27" s="18">
        <f t="shared" si="2"/>
        <v>10</v>
      </c>
      <c r="J27" s="33">
        <f t="shared" si="3"/>
        <v>1.3812154696132506</v>
      </c>
      <c r="K27" s="40">
        <v>23.7</v>
      </c>
      <c r="L27" s="41">
        <f>F27/3059*100</f>
        <v>23.99476953252697</v>
      </c>
    </row>
    <row r="28" spans="2:12" s="22" customFormat="1" ht="19.5" customHeight="1">
      <c r="B28" s="18" t="s">
        <v>41</v>
      </c>
      <c r="C28" s="19">
        <f t="shared" si="0"/>
        <v>575</v>
      </c>
      <c r="D28" s="20">
        <v>410</v>
      </c>
      <c r="E28" s="21">
        <v>165</v>
      </c>
      <c r="F28" s="19">
        <v>568</v>
      </c>
      <c r="G28" s="20">
        <f t="shared" si="1"/>
        <v>404</v>
      </c>
      <c r="H28" s="21">
        <v>164</v>
      </c>
      <c r="I28" s="18">
        <f t="shared" si="2"/>
        <v>-7</v>
      </c>
      <c r="J28" s="33">
        <f t="shared" si="3"/>
        <v>-1.2173913043478257</v>
      </c>
      <c r="K28" s="40">
        <v>18.8</v>
      </c>
      <c r="L28" s="41">
        <f>F28/3059*100</f>
        <v>18.568159529257926</v>
      </c>
    </row>
    <row r="29" spans="2:12" s="22" customFormat="1" ht="19.5" customHeight="1">
      <c r="B29" s="18"/>
      <c r="C29" s="19"/>
      <c r="D29" s="20"/>
      <c r="E29" s="21"/>
      <c r="F29" s="19"/>
      <c r="G29" s="20"/>
      <c r="H29" s="21"/>
      <c r="I29" s="18"/>
      <c r="J29" s="33"/>
      <c r="K29" s="40"/>
      <c r="L29" s="41"/>
    </row>
    <row r="30" spans="2:12" s="49" customFormat="1" ht="19.5" customHeight="1">
      <c r="B30" s="42" t="s">
        <v>43</v>
      </c>
      <c r="C30" s="43">
        <f t="shared" si="0"/>
        <v>14995</v>
      </c>
      <c r="D30" s="44">
        <v>5696</v>
      </c>
      <c r="E30" s="45">
        <v>9299</v>
      </c>
      <c r="F30" s="43">
        <v>14463</v>
      </c>
      <c r="G30" s="44">
        <f t="shared" si="1"/>
        <v>5756</v>
      </c>
      <c r="H30" s="45">
        <v>8707</v>
      </c>
      <c r="I30" s="42">
        <f t="shared" si="2"/>
        <v>-532</v>
      </c>
      <c r="J30" s="46">
        <f t="shared" si="3"/>
        <v>-3.547849283094362</v>
      </c>
      <c r="K30" s="47">
        <v>100</v>
      </c>
      <c r="L30" s="48">
        <v>100</v>
      </c>
    </row>
    <row r="31" spans="2:12" s="22" customFormat="1" ht="19.5" customHeight="1">
      <c r="B31" s="18"/>
      <c r="C31" s="19"/>
      <c r="D31" s="20"/>
      <c r="E31" s="21"/>
      <c r="F31" s="19"/>
      <c r="G31" s="20"/>
      <c r="H31" s="21"/>
      <c r="I31" s="18"/>
      <c r="J31" s="33"/>
      <c r="K31" s="40"/>
      <c r="L31" s="41"/>
    </row>
    <row r="32" spans="2:12" s="22" customFormat="1" ht="19.5" customHeight="1">
      <c r="B32" s="18" t="s">
        <v>44</v>
      </c>
      <c r="C32" s="19">
        <f t="shared" si="0"/>
        <v>53</v>
      </c>
      <c r="D32" s="20">
        <v>44</v>
      </c>
      <c r="E32" s="21">
        <v>9</v>
      </c>
      <c r="F32" s="19">
        <v>53</v>
      </c>
      <c r="G32" s="20">
        <f t="shared" si="1"/>
        <v>44</v>
      </c>
      <c r="H32" s="21">
        <v>9</v>
      </c>
      <c r="I32" s="18">
        <f t="shared" si="2"/>
        <v>0</v>
      </c>
      <c r="J32" s="33">
        <f t="shared" si="3"/>
        <v>0</v>
      </c>
      <c r="K32" s="40">
        <v>0.4</v>
      </c>
      <c r="L32" s="41">
        <f>F32/14463*100</f>
        <v>0.36645232662656435</v>
      </c>
    </row>
    <row r="33" spans="2:12" s="22" customFormat="1" ht="19.5" customHeight="1">
      <c r="B33" s="18" t="s">
        <v>136</v>
      </c>
      <c r="C33" s="19"/>
      <c r="D33" s="20"/>
      <c r="E33" s="21"/>
      <c r="F33" s="19"/>
      <c r="G33" s="20"/>
      <c r="H33" s="21"/>
      <c r="I33" s="18"/>
      <c r="J33" s="33"/>
      <c r="K33" s="40"/>
      <c r="L33" s="41"/>
    </row>
    <row r="34" spans="2:12" s="22" customFormat="1" ht="19.5" customHeight="1">
      <c r="B34" s="27" t="s">
        <v>137</v>
      </c>
      <c r="C34" s="19">
        <f t="shared" si="0"/>
        <v>1936</v>
      </c>
      <c r="D34" s="20">
        <v>924</v>
      </c>
      <c r="E34" s="21">
        <v>1012</v>
      </c>
      <c r="F34" s="19">
        <v>1824</v>
      </c>
      <c r="G34" s="20">
        <f t="shared" si="1"/>
        <v>884</v>
      </c>
      <c r="H34" s="21">
        <v>940</v>
      </c>
      <c r="I34" s="18">
        <f t="shared" si="2"/>
        <v>-112</v>
      </c>
      <c r="J34" s="33">
        <f t="shared" si="3"/>
        <v>-5.785123966942152</v>
      </c>
      <c r="K34" s="40">
        <v>12.9</v>
      </c>
      <c r="L34" s="41">
        <f aca="true" t="shared" si="4" ref="L34:L39">F34/14463*100</f>
        <v>12.611491391827423</v>
      </c>
    </row>
    <row r="35" spans="2:12" s="22" customFormat="1" ht="19.5" customHeight="1">
      <c r="B35" s="18" t="s">
        <v>45</v>
      </c>
      <c r="C35" s="19">
        <f t="shared" si="0"/>
        <v>6016</v>
      </c>
      <c r="D35" s="20">
        <v>1464</v>
      </c>
      <c r="E35" s="21">
        <v>4552</v>
      </c>
      <c r="F35" s="19">
        <v>5833</v>
      </c>
      <c r="G35" s="20">
        <f t="shared" si="1"/>
        <v>1504</v>
      </c>
      <c r="H35" s="21">
        <v>4329</v>
      </c>
      <c r="I35" s="18">
        <f t="shared" si="2"/>
        <v>-183</v>
      </c>
      <c r="J35" s="33">
        <f t="shared" si="3"/>
        <v>-3.0418882978723416</v>
      </c>
      <c r="K35" s="40">
        <v>40.1</v>
      </c>
      <c r="L35" s="41">
        <f t="shared" si="4"/>
        <v>40.33049851344811</v>
      </c>
    </row>
    <row r="36" spans="2:12" s="22" customFormat="1" ht="19.5" customHeight="1">
      <c r="B36" s="18" t="s">
        <v>46</v>
      </c>
      <c r="C36" s="19">
        <f t="shared" si="0"/>
        <v>932</v>
      </c>
      <c r="D36" s="20">
        <v>475</v>
      </c>
      <c r="E36" s="21">
        <v>457</v>
      </c>
      <c r="F36" s="19">
        <v>955</v>
      </c>
      <c r="G36" s="20">
        <f t="shared" si="1"/>
        <v>521</v>
      </c>
      <c r="H36" s="21">
        <v>434</v>
      </c>
      <c r="I36" s="18">
        <f t="shared" si="2"/>
        <v>23</v>
      </c>
      <c r="J36" s="33">
        <f t="shared" si="3"/>
        <v>2.467811158798283</v>
      </c>
      <c r="K36" s="40">
        <v>6.2</v>
      </c>
      <c r="L36" s="41">
        <f t="shared" si="4"/>
        <v>6.603056074120168</v>
      </c>
    </row>
    <row r="37" spans="2:12" s="22" customFormat="1" ht="19.5" customHeight="1">
      <c r="B37" s="18" t="s">
        <v>134</v>
      </c>
      <c r="C37" s="19"/>
      <c r="D37" s="20"/>
      <c r="E37" s="21"/>
      <c r="F37" s="19"/>
      <c r="G37" s="20"/>
      <c r="H37" s="21"/>
      <c r="I37" s="18"/>
      <c r="J37" s="33"/>
      <c r="K37" s="40"/>
      <c r="L37" s="41"/>
    </row>
    <row r="38" spans="2:12" s="22" customFormat="1" ht="19.5" customHeight="1">
      <c r="B38" s="27" t="s">
        <v>135</v>
      </c>
      <c r="C38" s="19">
        <f t="shared" si="0"/>
        <v>1405</v>
      </c>
      <c r="D38" s="20">
        <v>453</v>
      </c>
      <c r="E38" s="21">
        <v>952</v>
      </c>
      <c r="F38" s="19">
        <v>1320</v>
      </c>
      <c r="G38" s="20">
        <f t="shared" si="1"/>
        <v>457</v>
      </c>
      <c r="H38" s="21">
        <v>863</v>
      </c>
      <c r="I38" s="18">
        <f t="shared" si="2"/>
        <v>-85</v>
      </c>
      <c r="J38" s="33">
        <f t="shared" si="3"/>
        <v>-6.049822064056942</v>
      </c>
      <c r="K38" s="40">
        <v>9.4</v>
      </c>
      <c r="L38" s="41">
        <f t="shared" si="4"/>
        <v>9.126737191454055</v>
      </c>
    </row>
    <row r="39" spans="2:12" s="22" customFormat="1" ht="19.5" customHeight="1">
      <c r="B39" s="18" t="s">
        <v>47</v>
      </c>
      <c r="C39" s="19">
        <f t="shared" si="0"/>
        <v>4653</v>
      </c>
      <c r="D39" s="20">
        <v>2336</v>
      </c>
      <c r="E39" s="21">
        <v>2317</v>
      </c>
      <c r="F39" s="19">
        <v>4478</v>
      </c>
      <c r="G39" s="20">
        <f t="shared" si="1"/>
        <v>2346</v>
      </c>
      <c r="H39" s="21">
        <v>2132</v>
      </c>
      <c r="I39" s="18">
        <f t="shared" si="2"/>
        <v>-175</v>
      </c>
      <c r="J39" s="33">
        <f t="shared" si="3"/>
        <v>-3.761014399312268</v>
      </c>
      <c r="K39" s="40">
        <v>31</v>
      </c>
      <c r="L39" s="41">
        <f t="shared" si="4"/>
        <v>30.961764502523682</v>
      </c>
    </row>
    <row r="40" spans="2:12" s="22" customFormat="1" ht="19.5" customHeight="1" thickBot="1">
      <c r="B40" s="23"/>
      <c r="C40" s="24"/>
      <c r="D40" s="25"/>
      <c r="E40" s="26"/>
      <c r="F40" s="24"/>
      <c r="G40" s="25"/>
      <c r="H40" s="26"/>
      <c r="I40" s="23"/>
      <c r="J40" s="34"/>
      <c r="K40" s="36"/>
      <c r="L40" s="37"/>
    </row>
    <row r="41" ht="19.5" customHeight="1"/>
    <row r="42" ht="19.5" customHeight="1">
      <c r="B42" s="137" t="s">
        <v>145</v>
      </c>
    </row>
    <row r="43" ht="19.5" customHeight="1">
      <c r="B43" s="138" t="s">
        <v>146</v>
      </c>
    </row>
    <row r="44" spans="2:12" s="128" customFormat="1" ht="19.5" customHeight="1">
      <c r="B44" s="468" t="s">
        <v>149</v>
      </c>
      <c r="J44" s="129"/>
      <c r="K44" s="130"/>
      <c r="L44" s="130"/>
    </row>
    <row r="45" spans="2:12" s="128" customFormat="1" ht="19.5" customHeight="1">
      <c r="B45" s="468" t="s">
        <v>153</v>
      </c>
      <c r="J45" s="129"/>
      <c r="K45" s="130"/>
      <c r="L45" s="130"/>
    </row>
    <row r="46" ht="19.5" customHeight="1">
      <c r="B46" s="468" t="s">
        <v>355</v>
      </c>
    </row>
    <row r="47" ht="19.5" customHeight="1">
      <c r="B47" s="128"/>
    </row>
    <row r="48" ht="19.5" customHeight="1">
      <c r="B48" s="138" t="s">
        <v>147</v>
      </c>
    </row>
    <row r="49" spans="2:12" s="128" customFormat="1" ht="19.5" customHeight="1">
      <c r="B49" s="128" t="s">
        <v>150</v>
      </c>
      <c r="J49" s="129"/>
      <c r="K49" s="130"/>
      <c r="L49" s="130"/>
    </row>
    <row r="50" spans="2:12" s="128" customFormat="1" ht="19.5" customHeight="1">
      <c r="B50" s="128" t="s">
        <v>151</v>
      </c>
      <c r="J50" s="129"/>
      <c r="K50" s="130"/>
      <c r="L50" s="130"/>
    </row>
    <row r="51" ht="19.5" customHeight="1"/>
    <row r="52" ht="19.5" customHeight="1">
      <c r="B52" s="138" t="s">
        <v>148</v>
      </c>
    </row>
    <row r="53" spans="2:12" s="128" customFormat="1" ht="19.5" customHeight="1">
      <c r="B53" s="468" t="s">
        <v>164</v>
      </c>
      <c r="J53" s="129"/>
      <c r="K53" s="130"/>
      <c r="L53" s="130"/>
    </row>
    <row r="54" spans="2:12" s="128" customFormat="1" ht="19.5" customHeight="1">
      <c r="B54" s="468" t="s">
        <v>356</v>
      </c>
      <c r="J54" s="129"/>
      <c r="K54" s="130"/>
      <c r="L54" s="130"/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mergeCells count="8">
    <mergeCell ref="C14:E14"/>
    <mergeCell ref="C13:H13"/>
    <mergeCell ref="F14:H14"/>
    <mergeCell ref="K13:L13"/>
    <mergeCell ref="B12:C12"/>
    <mergeCell ref="B4:K4"/>
    <mergeCell ref="C5:J5"/>
    <mergeCell ref="C6:J6"/>
  </mergeCells>
  <printOptions/>
  <pageMargins left="0.75" right="0.75" top="1" bottom="1" header="0.512" footer="0.512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I178"/>
  <sheetViews>
    <sheetView zoomScale="75" zoomScaleNormal="75" workbookViewId="0" topLeftCell="A1">
      <selection activeCell="J24" sqref="J24"/>
    </sheetView>
  </sheetViews>
  <sheetFormatPr defaultColWidth="9.00390625" defaultRowHeight="13.5"/>
  <cols>
    <col min="1" max="1" width="14.875" style="549" customWidth="1"/>
    <col min="2" max="2" width="14.875" style="510" customWidth="1"/>
    <col min="3" max="3" width="12.00390625" style="511" customWidth="1"/>
    <col min="4" max="4" width="8.75390625" style="512" customWidth="1"/>
    <col min="5" max="5" width="5.50390625" style="513" customWidth="1"/>
    <col min="6" max="6" width="8.75390625" style="514" customWidth="1"/>
    <col min="7" max="7" width="11.50390625" style="515" customWidth="1"/>
    <col min="8" max="8" width="11.875" style="516" customWidth="1"/>
  </cols>
  <sheetData>
    <row r="1" ht="14.25" thickBot="1">
      <c r="A1" s="509" t="s">
        <v>471</v>
      </c>
    </row>
    <row r="2" spans="1:9" ht="13.5">
      <c r="A2" s="517"/>
      <c r="B2" s="518"/>
      <c r="C2" s="519" t="s">
        <v>472</v>
      </c>
      <c r="D2" s="520"/>
      <c r="E2" s="521"/>
      <c r="F2" s="522" t="s">
        <v>473</v>
      </c>
      <c r="G2" s="523" t="s">
        <v>474</v>
      </c>
      <c r="H2" s="524" t="s">
        <v>475</v>
      </c>
      <c r="I2" s="1"/>
    </row>
    <row r="3" spans="1:9" ht="13.5">
      <c r="A3" s="661" t="s">
        <v>476</v>
      </c>
      <c r="B3" s="662" t="s">
        <v>71</v>
      </c>
      <c r="C3" s="526" t="s">
        <v>477</v>
      </c>
      <c r="D3" s="663" t="s">
        <v>478</v>
      </c>
      <c r="E3" s="664"/>
      <c r="F3" s="527" t="s">
        <v>479</v>
      </c>
      <c r="G3" s="528" t="s">
        <v>479</v>
      </c>
      <c r="H3" s="529" t="s">
        <v>480</v>
      </c>
      <c r="I3" s="1"/>
    </row>
    <row r="4" spans="1:9" ht="13.5">
      <c r="A4" s="661"/>
      <c r="B4" s="662"/>
      <c r="C4" s="526" t="s">
        <v>481</v>
      </c>
      <c r="D4" s="665" t="s">
        <v>482</v>
      </c>
      <c r="E4" s="667" t="s">
        <v>483</v>
      </c>
      <c r="F4" s="527" t="s">
        <v>484</v>
      </c>
      <c r="G4" s="528" t="s">
        <v>484</v>
      </c>
      <c r="H4" s="529" t="s">
        <v>485</v>
      </c>
      <c r="I4" s="1"/>
    </row>
    <row r="5" spans="1:9" ht="14.25" customHeight="1" thickBot="1">
      <c r="A5" s="530"/>
      <c r="B5" s="531"/>
      <c r="C5" s="532" t="s">
        <v>486</v>
      </c>
      <c r="D5" s="666"/>
      <c r="E5" s="668"/>
      <c r="F5" s="533" t="s">
        <v>487</v>
      </c>
      <c r="G5" s="534" t="s">
        <v>488</v>
      </c>
      <c r="H5" s="535" t="s">
        <v>489</v>
      </c>
      <c r="I5" s="1"/>
    </row>
    <row r="6" spans="1:8" ht="13.5">
      <c r="A6" s="517"/>
      <c r="B6" s="536" t="s">
        <v>108</v>
      </c>
      <c r="C6" s="537" t="s">
        <v>60</v>
      </c>
      <c r="D6" s="538" t="s">
        <v>108</v>
      </c>
      <c r="E6" s="539"/>
      <c r="F6" s="522"/>
      <c r="G6" s="540" t="s">
        <v>60</v>
      </c>
      <c r="H6" s="541" t="s">
        <v>60</v>
      </c>
    </row>
    <row r="7" spans="1:8" ht="14.25">
      <c r="A7" s="542" t="s">
        <v>490</v>
      </c>
      <c r="B7" s="543">
        <f>SUM(B8:B9)</f>
        <v>117321019</v>
      </c>
      <c r="C7" s="544">
        <f>SUM(C8:C9)</f>
        <v>1160939</v>
      </c>
      <c r="D7" s="545">
        <f>B7/C7</f>
        <v>101.0570055791045</v>
      </c>
      <c r="E7" s="546" t="s">
        <v>491</v>
      </c>
      <c r="F7" s="547">
        <f>D7/101.057</f>
        <v>1.0000000552075017</v>
      </c>
      <c r="G7" s="548">
        <f>F7*C7</f>
        <v>1160939.0640925418</v>
      </c>
      <c r="H7" s="458">
        <f>G7-C7</f>
        <v>0.06409254181198776</v>
      </c>
    </row>
    <row r="8" spans="1:8" ht="14.25">
      <c r="A8" s="542" t="s">
        <v>492</v>
      </c>
      <c r="B8" s="543">
        <f>B11+B12+B13+B14+B15+B16+B17+B18+B19</f>
        <v>82596607</v>
      </c>
      <c r="C8" s="544">
        <f>C11+C12+C13+C14+C15+C16+C17+C18+C19</f>
        <v>659126</v>
      </c>
      <c r="D8" s="545">
        <f>B8/C8</f>
        <v>125.31231813037265</v>
      </c>
      <c r="E8" s="546" t="s">
        <v>491</v>
      </c>
      <c r="F8" s="547">
        <f>D8/101.057</f>
        <v>1.2400162099644028</v>
      </c>
      <c r="G8" s="548">
        <f>F8*C8</f>
        <v>817326.924408997</v>
      </c>
      <c r="H8" s="458">
        <f>G8-C8</f>
        <v>158200.92440899694</v>
      </c>
    </row>
    <row r="9" spans="1:8" ht="14.25">
      <c r="A9" s="542" t="s">
        <v>493</v>
      </c>
      <c r="B9" s="543">
        <f>B21+B24+B33+B42+B57+B61+B73+B88+B97</f>
        <v>34724412</v>
      </c>
      <c r="C9" s="544">
        <f>C21+C24+C33+C42+C57+C61+C73+C88+C97</f>
        <v>501813</v>
      </c>
      <c r="D9" s="545">
        <f>B9/C9</f>
        <v>69.1979123697473</v>
      </c>
      <c r="E9" s="546" t="s">
        <v>494</v>
      </c>
      <c r="F9" s="547">
        <f>D9/101.057</f>
        <v>0.6847414070252165</v>
      </c>
      <c r="G9" s="548">
        <f>F9*C9</f>
        <v>343612.1396835449</v>
      </c>
      <c r="H9" s="458">
        <f>G9-C9</f>
        <v>-158200.86031645507</v>
      </c>
    </row>
    <row r="10" spans="2:8" ht="13.5">
      <c r="B10" s="525"/>
      <c r="C10" s="550"/>
      <c r="D10" s="551"/>
      <c r="E10" s="552"/>
      <c r="F10" s="553"/>
      <c r="G10" s="554"/>
      <c r="H10" s="459"/>
    </row>
    <row r="11" spans="1:8" s="557" customFormat="1" ht="15.75" customHeight="1">
      <c r="A11" s="555" t="s">
        <v>495</v>
      </c>
      <c r="B11" s="556">
        <v>37404413</v>
      </c>
      <c r="C11" s="550">
        <v>318077</v>
      </c>
      <c r="D11" s="551">
        <f aca="true" t="shared" si="0" ref="D11:D19">B11/C11</f>
        <v>117.59546587775915</v>
      </c>
      <c r="E11" s="552">
        <v>10</v>
      </c>
      <c r="F11" s="553">
        <f aca="true" t="shared" si="1" ref="F11:F19">D11/101.057</f>
        <v>1.1636548272535219</v>
      </c>
      <c r="G11" s="554">
        <f aca="true" t="shared" si="2" ref="G11:G19">F11*C11</f>
        <v>370131.83648831845</v>
      </c>
      <c r="H11" s="459">
        <f aca="true" t="shared" si="3" ref="H11:H19">G11-C11</f>
        <v>52054.836488318455</v>
      </c>
    </row>
    <row r="12" spans="1:8" s="557" customFormat="1" ht="15.75" customHeight="1">
      <c r="A12" s="555" t="s">
        <v>496</v>
      </c>
      <c r="B12" s="556">
        <v>6602808</v>
      </c>
      <c r="C12" s="550">
        <v>52054</v>
      </c>
      <c r="D12" s="551">
        <f t="shared" si="0"/>
        <v>126.84535290275483</v>
      </c>
      <c r="E12" s="552">
        <v>8</v>
      </c>
      <c r="F12" s="553">
        <f t="shared" si="1"/>
        <v>1.2551862107796077</v>
      </c>
      <c r="G12" s="554">
        <f t="shared" si="2"/>
        <v>65337.4630159217</v>
      </c>
      <c r="H12" s="459">
        <f t="shared" si="3"/>
        <v>13283.463015921698</v>
      </c>
    </row>
    <row r="13" spans="1:8" s="557" customFormat="1" ht="15.75" customHeight="1">
      <c r="A13" s="555" t="s">
        <v>497</v>
      </c>
      <c r="B13" s="556">
        <v>7014453</v>
      </c>
      <c r="C13" s="550">
        <v>39800</v>
      </c>
      <c r="D13" s="551">
        <f t="shared" si="0"/>
        <v>176.2425376884422</v>
      </c>
      <c r="E13" s="552">
        <v>2</v>
      </c>
      <c r="F13" s="553">
        <f t="shared" si="1"/>
        <v>1.7439913879141693</v>
      </c>
      <c r="G13" s="554">
        <f t="shared" si="2"/>
        <v>69410.85723898394</v>
      </c>
      <c r="H13" s="459">
        <f t="shared" si="3"/>
        <v>29610.85723898394</v>
      </c>
    </row>
    <row r="14" spans="1:8" s="557" customFormat="1" ht="15.75" customHeight="1">
      <c r="A14" s="555" t="s">
        <v>498</v>
      </c>
      <c r="B14" s="556">
        <v>7750518</v>
      </c>
      <c r="C14" s="550">
        <v>64497</v>
      </c>
      <c r="D14" s="551">
        <f t="shared" si="0"/>
        <v>120.16865900739569</v>
      </c>
      <c r="E14" s="552">
        <v>9</v>
      </c>
      <c r="F14" s="553">
        <f t="shared" si="1"/>
        <v>1.1891176168637074</v>
      </c>
      <c r="G14" s="554">
        <f t="shared" si="2"/>
        <v>76694.51893485854</v>
      </c>
      <c r="H14" s="459">
        <f t="shared" si="3"/>
        <v>12197.51893485854</v>
      </c>
    </row>
    <row r="15" spans="1:8" s="560" customFormat="1" ht="15.75" customHeight="1">
      <c r="A15" s="558" t="s">
        <v>499</v>
      </c>
      <c r="B15" s="556">
        <v>6448742</v>
      </c>
      <c r="C15" s="559">
        <v>45446</v>
      </c>
      <c r="D15" s="551">
        <f t="shared" si="0"/>
        <v>141.8990010121903</v>
      </c>
      <c r="E15" s="552">
        <v>5</v>
      </c>
      <c r="F15" s="553">
        <f t="shared" si="1"/>
        <v>1.4041481640281257</v>
      </c>
      <c r="G15" s="554">
        <f t="shared" si="2"/>
        <v>63812.9174624222</v>
      </c>
      <c r="H15" s="459">
        <f t="shared" si="3"/>
        <v>18366.9174624222</v>
      </c>
    </row>
    <row r="16" spans="1:8" s="557" customFormat="1" ht="15.75" customHeight="1">
      <c r="A16" s="555" t="s">
        <v>500</v>
      </c>
      <c r="B16" s="556">
        <v>2913097</v>
      </c>
      <c r="C16" s="550">
        <v>28903</v>
      </c>
      <c r="D16" s="551">
        <f t="shared" si="0"/>
        <v>100.7887416531156</v>
      </c>
      <c r="E16" s="552">
        <v>15</v>
      </c>
      <c r="F16" s="553">
        <f t="shared" si="1"/>
        <v>0.997345474861866</v>
      </c>
      <c r="G16" s="554">
        <f t="shared" si="2"/>
        <v>28826.27625993251</v>
      </c>
      <c r="H16" s="459">
        <f t="shared" si="3"/>
        <v>-76.72374006748942</v>
      </c>
    </row>
    <row r="17" spans="1:8" s="557" customFormat="1" ht="15.75" customHeight="1">
      <c r="A17" s="555" t="s">
        <v>501</v>
      </c>
      <c r="B17" s="556">
        <v>3949453</v>
      </c>
      <c r="C17" s="550">
        <v>33935</v>
      </c>
      <c r="D17" s="551">
        <f t="shared" si="0"/>
        <v>116.3828790334463</v>
      </c>
      <c r="E17" s="552">
        <v>11</v>
      </c>
      <c r="F17" s="553">
        <f t="shared" si="1"/>
        <v>1.1516557886484489</v>
      </c>
      <c r="G17" s="554">
        <f t="shared" si="2"/>
        <v>39081.439187785116</v>
      </c>
      <c r="H17" s="459">
        <f t="shared" si="3"/>
        <v>5146.439187785116</v>
      </c>
    </row>
    <row r="18" spans="1:8" s="557" customFormat="1" ht="15.75" customHeight="1">
      <c r="A18" s="555" t="s">
        <v>502</v>
      </c>
      <c r="B18" s="556">
        <v>6700155</v>
      </c>
      <c r="C18" s="550">
        <v>38895</v>
      </c>
      <c r="D18" s="551">
        <f t="shared" si="0"/>
        <v>172.26263015811801</v>
      </c>
      <c r="E18" s="552">
        <v>3</v>
      </c>
      <c r="F18" s="553">
        <f t="shared" si="1"/>
        <v>1.7046085887975895</v>
      </c>
      <c r="G18" s="554">
        <f t="shared" si="2"/>
        <v>66300.75106128224</v>
      </c>
      <c r="H18" s="459">
        <f t="shared" si="3"/>
        <v>27405.751061282237</v>
      </c>
    </row>
    <row r="19" spans="1:8" s="557" customFormat="1" ht="15.75" customHeight="1">
      <c r="A19" s="555" t="s">
        <v>503</v>
      </c>
      <c r="B19" s="556">
        <v>3812968</v>
      </c>
      <c r="C19" s="550">
        <v>37519</v>
      </c>
      <c r="D19" s="551">
        <f t="shared" si="0"/>
        <v>101.62765532130388</v>
      </c>
      <c r="E19" s="552">
        <v>13</v>
      </c>
      <c r="F19" s="553">
        <f t="shared" si="1"/>
        <v>1.0056468658410984</v>
      </c>
      <c r="G19" s="554">
        <f t="shared" si="2"/>
        <v>37730.86475949217</v>
      </c>
      <c r="H19" s="459">
        <f t="shared" si="3"/>
        <v>211.8647594921713</v>
      </c>
    </row>
    <row r="20" spans="2:8" ht="13.5">
      <c r="B20" s="525"/>
      <c r="C20" s="550"/>
      <c r="D20" s="551"/>
      <c r="E20" s="552"/>
      <c r="F20" s="553"/>
      <c r="G20" s="554"/>
      <c r="H20" s="459"/>
    </row>
    <row r="21" spans="1:8" s="557" customFormat="1" ht="15.75" customHeight="1">
      <c r="A21" s="561" t="s">
        <v>504</v>
      </c>
      <c r="B21" s="562">
        <f>SUM(B22)</f>
        <v>385338</v>
      </c>
      <c r="C21" s="563">
        <f>SUM(C22)</f>
        <v>6790</v>
      </c>
      <c r="D21" s="545">
        <f>B21/C21</f>
        <v>56.75081001472754</v>
      </c>
      <c r="E21" s="564"/>
      <c r="F21" s="547">
        <f>D21/101.057</f>
        <v>0.5615722811356714</v>
      </c>
      <c r="G21" s="548">
        <f>F21*C21</f>
        <v>3813.0757889112087</v>
      </c>
      <c r="H21" s="458">
        <f>G21-C21</f>
        <v>-2976.9242110887913</v>
      </c>
    </row>
    <row r="22" spans="1:8" s="557" customFormat="1" ht="15.75" customHeight="1">
      <c r="A22" s="555" t="s">
        <v>505</v>
      </c>
      <c r="B22" s="556">
        <v>385338</v>
      </c>
      <c r="C22" s="550">
        <v>6790</v>
      </c>
      <c r="D22" s="551">
        <f>B22/C22</f>
        <v>56.75081001472754</v>
      </c>
      <c r="E22" s="552">
        <v>36</v>
      </c>
      <c r="F22" s="553">
        <f>D22/101.057</f>
        <v>0.5615722811356714</v>
      </c>
      <c r="G22" s="554">
        <f>F22*C22</f>
        <v>3813.0757889112087</v>
      </c>
      <c r="H22" s="459">
        <f>G22-C22</f>
        <v>-2976.9242110887913</v>
      </c>
    </row>
    <row r="23" spans="2:8" ht="13.5">
      <c r="B23" s="565"/>
      <c r="C23" s="550"/>
      <c r="D23" s="551"/>
      <c r="E23" s="552"/>
      <c r="F23" s="553"/>
      <c r="G23" s="554"/>
      <c r="H23" s="459"/>
    </row>
    <row r="24" spans="1:8" s="134" customFormat="1" ht="14.25">
      <c r="A24" s="566" t="s">
        <v>506</v>
      </c>
      <c r="B24" s="567">
        <f>SUM(B25:B31)</f>
        <v>4545831</v>
      </c>
      <c r="C24" s="568">
        <f>SUM(C25:C31)</f>
        <v>62545</v>
      </c>
      <c r="D24" s="545">
        <f aca="true" t="shared" si="4" ref="D24:D31">B24/C24</f>
        <v>72.68096570469262</v>
      </c>
      <c r="E24" s="564"/>
      <c r="F24" s="547">
        <f aca="true" t="shared" si="5" ref="F24:F31">D24/101.057</f>
        <v>0.7192076323727463</v>
      </c>
      <c r="G24" s="548">
        <f aca="true" t="shared" si="6" ref="G24:G31">F24*C24</f>
        <v>44982.84136675342</v>
      </c>
      <c r="H24" s="458">
        <f aca="true" t="shared" si="7" ref="H24:H31">G24-C24</f>
        <v>-17562.15863324658</v>
      </c>
    </row>
    <row r="25" spans="1:8" s="557" customFormat="1" ht="15.75" customHeight="1">
      <c r="A25" s="555" t="s">
        <v>507</v>
      </c>
      <c r="B25" s="556">
        <v>2121488</v>
      </c>
      <c r="C25" s="550">
        <v>20944</v>
      </c>
      <c r="D25" s="551">
        <f t="shared" si="4"/>
        <v>101.2933537051184</v>
      </c>
      <c r="E25" s="552">
        <v>14</v>
      </c>
      <c r="F25" s="553">
        <f t="shared" si="5"/>
        <v>1.002338815768511</v>
      </c>
      <c r="G25" s="554">
        <f t="shared" si="6"/>
        <v>20992.984157455692</v>
      </c>
      <c r="H25" s="459">
        <f t="shared" si="7"/>
        <v>48.984157455692184</v>
      </c>
    </row>
    <row r="26" spans="1:8" s="557" customFormat="1" ht="15.75" customHeight="1">
      <c r="A26" s="555" t="s">
        <v>508</v>
      </c>
      <c r="B26" s="556">
        <v>807775</v>
      </c>
      <c r="C26" s="550">
        <v>11672</v>
      </c>
      <c r="D26" s="551">
        <f t="shared" si="4"/>
        <v>69.20622001370802</v>
      </c>
      <c r="E26" s="552">
        <v>29</v>
      </c>
      <c r="F26" s="553">
        <f t="shared" si="5"/>
        <v>0.6848236145314824</v>
      </c>
      <c r="G26" s="554">
        <f t="shared" si="6"/>
        <v>7993.261228811463</v>
      </c>
      <c r="H26" s="459">
        <f t="shared" si="7"/>
        <v>-3678.7387711885367</v>
      </c>
    </row>
    <row r="27" spans="1:8" s="557" customFormat="1" ht="15.75" customHeight="1">
      <c r="A27" s="555" t="s">
        <v>509</v>
      </c>
      <c r="B27" s="556">
        <v>695074</v>
      </c>
      <c r="C27" s="550">
        <v>7463</v>
      </c>
      <c r="D27" s="551">
        <f t="shared" si="4"/>
        <v>93.13600428781992</v>
      </c>
      <c r="E27" s="552">
        <v>17</v>
      </c>
      <c r="F27" s="553">
        <f t="shared" si="5"/>
        <v>0.9216185349636336</v>
      </c>
      <c r="G27" s="554">
        <f t="shared" si="6"/>
        <v>6878.039126433598</v>
      </c>
      <c r="H27" s="459">
        <f t="shared" si="7"/>
        <v>-584.9608735664024</v>
      </c>
    </row>
    <row r="28" spans="1:8" s="557" customFormat="1" ht="15.75" customHeight="1">
      <c r="A28" s="555" t="s">
        <v>510</v>
      </c>
      <c r="B28" s="556">
        <v>169899</v>
      </c>
      <c r="C28" s="550">
        <v>4074</v>
      </c>
      <c r="D28" s="551">
        <f t="shared" si="4"/>
        <v>41.70324005891016</v>
      </c>
      <c r="E28" s="552">
        <v>51</v>
      </c>
      <c r="F28" s="553">
        <f t="shared" si="5"/>
        <v>0.4126704736822799</v>
      </c>
      <c r="G28" s="554">
        <f t="shared" si="6"/>
        <v>1681.2195097816082</v>
      </c>
      <c r="H28" s="459">
        <f t="shared" si="7"/>
        <v>-2392.7804902183916</v>
      </c>
    </row>
    <row r="29" spans="1:8" s="560" customFormat="1" ht="15.75" customHeight="1">
      <c r="A29" s="558" t="s">
        <v>511</v>
      </c>
      <c r="B29" s="556">
        <v>218246</v>
      </c>
      <c r="C29" s="559">
        <v>7583</v>
      </c>
      <c r="D29" s="551">
        <f t="shared" si="4"/>
        <v>28.780957404721086</v>
      </c>
      <c r="E29" s="552">
        <v>64</v>
      </c>
      <c r="F29" s="553">
        <f t="shared" si="5"/>
        <v>0.2847992460168131</v>
      </c>
      <c r="G29" s="554">
        <f t="shared" si="6"/>
        <v>2159.632682545494</v>
      </c>
      <c r="H29" s="459">
        <f t="shared" si="7"/>
        <v>-5423.367317454506</v>
      </c>
    </row>
    <row r="30" spans="1:8" s="557" customFormat="1" ht="15.75" customHeight="1">
      <c r="A30" s="555" t="s">
        <v>512</v>
      </c>
      <c r="B30" s="556">
        <v>394667</v>
      </c>
      <c r="C30" s="550">
        <v>7668</v>
      </c>
      <c r="D30" s="551">
        <f t="shared" si="4"/>
        <v>51.469353155972875</v>
      </c>
      <c r="E30" s="552">
        <v>41</v>
      </c>
      <c r="F30" s="553">
        <f t="shared" si="5"/>
        <v>0.5093101235537655</v>
      </c>
      <c r="G30" s="554">
        <f t="shared" si="6"/>
        <v>3905.390027410274</v>
      </c>
      <c r="H30" s="459">
        <f t="shared" si="7"/>
        <v>-3762.609972589726</v>
      </c>
    </row>
    <row r="31" spans="1:8" s="557" customFormat="1" ht="15.75" customHeight="1">
      <c r="A31" s="555" t="s">
        <v>513</v>
      </c>
      <c r="B31" s="556">
        <v>138682</v>
      </c>
      <c r="C31" s="550">
        <v>3141</v>
      </c>
      <c r="D31" s="551">
        <f t="shared" si="4"/>
        <v>44.15218083412926</v>
      </c>
      <c r="E31" s="552">
        <v>49</v>
      </c>
      <c r="F31" s="553">
        <f t="shared" si="5"/>
        <v>0.436903735853323</v>
      </c>
      <c r="G31" s="554">
        <f t="shared" si="6"/>
        <v>1372.3146343152875</v>
      </c>
      <c r="H31" s="459">
        <f t="shared" si="7"/>
        <v>-1768.6853656847125</v>
      </c>
    </row>
    <row r="32" spans="2:8" ht="13.5">
      <c r="B32" s="565"/>
      <c r="C32" s="550"/>
      <c r="D32" s="551"/>
      <c r="E32" s="552"/>
      <c r="F32" s="553"/>
      <c r="G32" s="554"/>
      <c r="H32" s="459"/>
    </row>
    <row r="33" spans="1:8" s="134" customFormat="1" ht="14.25">
      <c r="A33" s="566" t="s">
        <v>514</v>
      </c>
      <c r="B33" s="567">
        <f>SUM(B34:B40)</f>
        <v>2504201</v>
      </c>
      <c r="C33" s="568">
        <f>SUM(C34:C40)</f>
        <v>45982</v>
      </c>
      <c r="D33" s="545">
        <f aca="true" t="shared" si="8" ref="D33:D40">B33/C33</f>
        <v>54.46046278978731</v>
      </c>
      <c r="E33" s="564"/>
      <c r="F33" s="547">
        <f aca="true" t="shared" si="9" ref="F33:F40">D33/101.057</f>
        <v>0.5389083664643449</v>
      </c>
      <c r="G33" s="548">
        <f aca="true" t="shared" si="10" ref="G33:G40">F33*C33</f>
        <v>24780.08450676351</v>
      </c>
      <c r="H33" s="458">
        <f aca="true" t="shared" si="11" ref="H33:H40">G33-C33</f>
        <v>-21201.91549323649</v>
      </c>
    </row>
    <row r="34" spans="1:8" s="557" customFormat="1" ht="15.75" customHeight="1">
      <c r="A34" s="555" t="s">
        <v>515</v>
      </c>
      <c r="B34" s="556">
        <v>450341</v>
      </c>
      <c r="C34" s="550">
        <v>5806</v>
      </c>
      <c r="D34" s="551">
        <f t="shared" si="8"/>
        <v>77.56476059249053</v>
      </c>
      <c r="E34" s="552">
        <v>23</v>
      </c>
      <c r="F34" s="553">
        <f t="shared" si="9"/>
        <v>0.7675347634749748</v>
      </c>
      <c r="G34" s="554">
        <f t="shared" si="10"/>
        <v>4456.306836735704</v>
      </c>
      <c r="H34" s="459">
        <f t="shared" si="11"/>
        <v>-1349.6931632642963</v>
      </c>
    </row>
    <row r="35" spans="1:8" s="557" customFormat="1" ht="15.75" customHeight="1">
      <c r="A35" s="555" t="s">
        <v>516</v>
      </c>
      <c r="B35" s="556">
        <v>942543</v>
      </c>
      <c r="C35" s="550">
        <v>11400</v>
      </c>
      <c r="D35" s="551">
        <f t="shared" si="8"/>
        <v>82.67921052631579</v>
      </c>
      <c r="E35" s="552">
        <v>20</v>
      </c>
      <c r="F35" s="553">
        <f t="shared" si="9"/>
        <v>0.8181443198028417</v>
      </c>
      <c r="G35" s="554">
        <f t="shared" si="10"/>
        <v>9326.845245752396</v>
      </c>
      <c r="H35" s="459">
        <f t="shared" si="11"/>
        <v>-2073.1547542476037</v>
      </c>
    </row>
    <row r="36" spans="1:8" s="557" customFormat="1" ht="15.75" customHeight="1">
      <c r="A36" s="555" t="s">
        <v>517</v>
      </c>
      <c r="B36" s="556">
        <v>183468</v>
      </c>
      <c r="C36" s="550">
        <v>4488</v>
      </c>
      <c r="D36" s="551">
        <f t="shared" si="8"/>
        <v>40.87967914438503</v>
      </c>
      <c r="E36" s="552">
        <v>54</v>
      </c>
      <c r="F36" s="553">
        <f t="shared" si="9"/>
        <v>0.4045210044270563</v>
      </c>
      <c r="G36" s="554">
        <f t="shared" si="10"/>
        <v>1815.4902678686287</v>
      </c>
      <c r="H36" s="459">
        <f t="shared" si="11"/>
        <v>-2672.5097321313715</v>
      </c>
    </row>
    <row r="37" spans="1:8" s="557" customFormat="1" ht="15.75" customHeight="1">
      <c r="A37" s="555" t="s">
        <v>518</v>
      </c>
      <c r="B37" s="556">
        <v>265327</v>
      </c>
      <c r="C37" s="550">
        <v>8024</v>
      </c>
      <c r="D37" s="551">
        <f t="shared" si="8"/>
        <v>33.066674975074775</v>
      </c>
      <c r="E37" s="552">
        <v>62</v>
      </c>
      <c r="F37" s="553">
        <f t="shared" si="9"/>
        <v>0.3272081595047822</v>
      </c>
      <c r="G37" s="554">
        <f t="shared" si="10"/>
        <v>2625.5182718663723</v>
      </c>
      <c r="H37" s="459">
        <f t="shared" si="11"/>
        <v>-5398.481728133627</v>
      </c>
    </row>
    <row r="38" spans="1:8" s="560" customFormat="1" ht="15.75" customHeight="1">
      <c r="A38" s="558" t="s">
        <v>519</v>
      </c>
      <c r="B38" s="556">
        <v>371166</v>
      </c>
      <c r="C38" s="559">
        <v>7151</v>
      </c>
      <c r="D38" s="551">
        <f t="shared" si="8"/>
        <v>51.90406936092854</v>
      </c>
      <c r="E38" s="552">
        <v>39</v>
      </c>
      <c r="F38" s="553">
        <f t="shared" si="9"/>
        <v>0.5136118167066956</v>
      </c>
      <c r="G38" s="554">
        <f t="shared" si="10"/>
        <v>3672.8381012695804</v>
      </c>
      <c r="H38" s="459">
        <f t="shared" si="11"/>
        <v>-3478.1618987304196</v>
      </c>
    </row>
    <row r="39" spans="1:8" s="557" customFormat="1" ht="15.75" customHeight="1">
      <c r="A39" s="555" t="s">
        <v>520</v>
      </c>
      <c r="B39" s="556">
        <v>174165</v>
      </c>
      <c r="C39" s="550">
        <v>4443</v>
      </c>
      <c r="D39" s="551">
        <f t="shared" si="8"/>
        <v>39.19986495611074</v>
      </c>
      <c r="E39" s="552">
        <v>57</v>
      </c>
      <c r="F39" s="553">
        <f t="shared" si="9"/>
        <v>0.3878985617632696</v>
      </c>
      <c r="G39" s="554">
        <f t="shared" si="10"/>
        <v>1723.4333099142068</v>
      </c>
      <c r="H39" s="459">
        <f t="shared" si="11"/>
        <v>-2719.566690085793</v>
      </c>
    </row>
    <row r="40" spans="1:8" s="557" customFormat="1" ht="15.75" customHeight="1">
      <c r="A40" s="555" t="s">
        <v>521</v>
      </c>
      <c r="B40" s="556">
        <v>117191</v>
      </c>
      <c r="C40" s="550">
        <v>4670</v>
      </c>
      <c r="D40" s="551">
        <f t="shared" si="8"/>
        <v>25.09443254817987</v>
      </c>
      <c r="E40" s="552">
        <v>68</v>
      </c>
      <c r="F40" s="553">
        <f t="shared" si="9"/>
        <v>0.24831958744253116</v>
      </c>
      <c r="G40" s="554">
        <f t="shared" si="10"/>
        <v>1159.6524733566205</v>
      </c>
      <c r="H40" s="459">
        <f t="shared" si="11"/>
        <v>-3510.3475266433798</v>
      </c>
    </row>
    <row r="41" spans="2:8" ht="13.5">
      <c r="B41" s="565"/>
      <c r="C41" s="550"/>
      <c r="D41" s="551"/>
      <c r="E41" s="552"/>
      <c r="F41" s="553"/>
      <c r="G41" s="554"/>
      <c r="H41" s="459"/>
    </row>
    <row r="42" spans="1:8" s="134" customFormat="1" ht="14.25">
      <c r="A42" s="566" t="s">
        <v>522</v>
      </c>
      <c r="B42" s="567">
        <f>SUM(B43:B50)</f>
        <v>6214001</v>
      </c>
      <c r="C42" s="568">
        <f>SUM(C43:C50)</f>
        <v>71420</v>
      </c>
      <c r="D42" s="545">
        <f aca="true" t="shared" si="12" ref="D42:D50">B42/C42</f>
        <v>87.00645477457294</v>
      </c>
      <c r="E42" s="564"/>
      <c r="F42" s="547">
        <f aca="true" t="shared" si="13" ref="F42:F50">D42/101.057</f>
        <v>0.860964156610358</v>
      </c>
      <c r="G42" s="548">
        <f aca="true" t="shared" si="14" ref="G42:G50">F42*C42</f>
        <v>61490.060065111764</v>
      </c>
      <c r="H42" s="458">
        <f aca="true" t="shared" si="15" ref="H42:H50">G42-C42</f>
        <v>-9929.939934888236</v>
      </c>
    </row>
    <row r="43" spans="1:8" s="557" customFormat="1" ht="15.75" customHeight="1">
      <c r="A43" s="555" t="s">
        <v>523</v>
      </c>
      <c r="B43" s="556">
        <v>1127689</v>
      </c>
      <c r="C43" s="550">
        <v>11750</v>
      </c>
      <c r="D43" s="551">
        <f t="shared" si="12"/>
        <v>95.97353191489361</v>
      </c>
      <c r="E43" s="552">
        <v>16</v>
      </c>
      <c r="F43" s="553">
        <f t="shared" si="13"/>
        <v>0.9496970216303038</v>
      </c>
      <c r="G43" s="554">
        <f t="shared" si="14"/>
        <v>11158.94000415607</v>
      </c>
      <c r="H43" s="459">
        <f t="shared" si="15"/>
        <v>-591.0599958439307</v>
      </c>
    </row>
    <row r="44" spans="1:8" s="557" customFormat="1" ht="15.75" customHeight="1">
      <c r="A44" s="555" t="s">
        <v>524</v>
      </c>
      <c r="B44" s="556">
        <v>447545</v>
      </c>
      <c r="C44" s="550">
        <v>8669</v>
      </c>
      <c r="D44" s="551">
        <f t="shared" si="12"/>
        <v>51.62590840927442</v>
      </c>
      <c r="E44" s="552">
        <v>40</v>
      </c>
      <c r="F44" s="553">
        <f t="shared" si="13"/>
        <v>0.5108593012782333</v>
      </c>
      <c r="G44" s="554">
        <f t="shared" si="14"/>
        <v>4428.639282781005</v>
      </c>
      <c r="H44" s="459">
        <f t="shared" si="15"/>
        <v>-4240.360717218995</v>
      </c>
    </row>
    <row r="45" spans="1:8" s="557" customFormat="1" ht="15.75" customHeight="1">
      <c r="A45" s="555" t="s">
        <v>525</v>
      </c>
      <c r="B45" s="556">
        <v>490516</v>
      </c>
      <c r="C45" s="550">
        <v>7243</v>
      </c>
      <c r="D45" s="551">
        <f t="shared" si="12"/>
        <v>67.72276680933315</v>
      </c>
      <c r="E45" s="552">
        <v>31</v>
      </c>
      <c r="F45" s="553">
        <f t="shared" si="13"/>
        <v>0.6701442434401689</v>
      </c>
      <c r="G45" s="554">
        <f t="shared" si="14"/>
        <v>4853.854755237143</v>
      </c>
      <c r="H45" s="459">
        <f t="shared" si="15"/>
        <v>-2389.145244762857</v>
      </c>
    </row>
    <row r="46" spans="1:8" s="557" customFormat="1" ht="15.75" customHeight="1">
      <c r="A46" s="555" t="s">
        <v>526</v>
      </c>
      <c r="B46" s="556">
        <v>193510</v>
      </c>
      <c r="C46" s="550">
        <v>4923</v>
      </c>
      <c r="D46" s="551">
        <f t="shared" si="12"/>
        <v>39.307332927076985</v>
      </c>
      <c r="E46" s="552">
        <v>56</v>
      </c>
      <c r="F46" s="553">
        <f t="shared" si="13"/>
        <v>0.3889620009210345</v>
      </c>
      <c r="G46" s="554">
        <f t="shared" si="14"/>
        <v>1914.859930534253</v>
      </c>
      <c r="H46" s="459">
        <f t="shared" si="15"/>
        <v>-3008.140069465747</v>
      </c>
    </row>
    <row r="47" spans="1:8" s="560" customFormat="1" ht="15.75" customHeight="1">
      <c r="A47" s="558" t="s">
        <v>527</v>
      </c>
      <c r="B47" s="556">
        <v>1229805</v>
      </c>
      <c r="C47" s="559">
        <v>22132</v>
      </c>
      <c r="D47" s="551">
        <f t="shared" si="12"/>
        <v>55.566826314838245</v>
      </c>
      <c r="E47" s="552">
        <v>38</v>
      </c>
      <c r="F47" s="553">
        <f t="shared" si="13"/>
        <v>0.5498562822450522</v>
      </c>
      <c r="G47" s="554">
        <f t="shared" si="14"/>
        <v>12169.419238647495</v>
      </c>
      <c r="H47" s="459">
        <f t="shared" si="15"/>
        <v>-9962.580761352505</v>
      </c>
    </row>
    <row r="48" spans="1:8" s="557" customFormat="1" ht="15.75" customHeight="1">
      <c r="A48" s="555" t="s">
        <v>528</v>
      </c>
      <c r="B48" s="556">
        <v>827714</v>
      </c>
      <c r="C48" s="550">
        <v>6018</v>
      </c>
      <c r="D48" s="551">
        <f t="shared" si="12"/>
        <v>137.53971419076106</v>
      </c>
      <c r="E48" s="552">
        <v>7</v>
      </c>
      <c r="F48" s="553">
        <f t="shared" si="13"/>
        <v>1.3610112529637834</v>
      </c>
      <c r="G48" s="554">
        <f t="shared" si="14"/>
        <v>8190.565720336049</v>
      </c>
      <c r="H48" s="459">
        <f t="shared" si="15"/>
        <v>2172.565720336049</v>
      </c>
    </row>
    <row r="49" spans="1:8" s="557" customFormat="1" ht="15.75" customHeight="1">
      <c r="A49" s="555" t="s">
        <v>529</v>
      </c>
      <c r="B49" s="556">
        <v>362879</v>
      </c>
      <c r="C49" s="550">
        <v>7310</v>
      </c>
      <c r="D49" s="551">
        <f t="shared" si="12"/>
        <v>49.64145006839945</v>
      </c>
      <c r="E49" s="552">
        <v>43</v>
      </c>
      <c r="F49" s="553">
        <f t="shared" si="13"/>
        <v>0.4912222811720064</v>
      </c>
      <c r="G49" s="554">
        <f t="shared" si="14"/>
        <v>3590.8348753673667</v>
      </c>
      <c r="H49" s="459">
        <f t="shared" si="15"/>
        <v>-3719.1651246326333</v>
      </c>
    </row>
    <row r="50" spans="1:8" s="557" customFormat="1" ht="15.75" customHeight="1">
      <c r="A50" s="555" t="s">
        <v>530</v>
      </c>
      <c r="B50" s="556">
        <v>1534343</v>
      </c>
      <c r="C50" s="550">
        <v>3375</v>
      </c>
      <c r="D50" s="551">
        <f t="shared" si="12"/>
        <v>454.62014814814813</v>
      </c>
      <c r="E50" s="552">
        <v>1</v>
      </c>
      <c r="F50" s="553">
        <f t="shared" si="13"/>
        <v>4.498650743126633</v>
      </c>
      <c r="G50" s="554">
        <f t="shared" si="14"/>
        <v>15182.946258052385</v>
      </c>
      <c r="H50" s="459">
        <f t="shared" si="15"/>
        <v>11807.946258052385</v>
      </c>
    </row>
    <row r="51" spans="1:8" s="557" customFormat="1" ht="15.75" customHeight="1">
      <c r="A51" s="555"/>
      <c r="B51" s="556"/>
      <c r="C51" s="550"/>
      <c r="D51" s="551"/>
      <c r="E51" s="552"/>
      <c r="F51" s="553"/>
      <c r="G51" s="554"/>
      <c r="H51" s="459"/>
    </row>
    <row r="52" spans="1:8" s="557" customFormat="1" ht="15.75" customHeight="1" hidden="1">
      <c r="A52" s="517"/>
      <c r="B52" s="518"/>
      <c r="C52" s="519" t="s">
        <v>531</v>
      </c>
      <c r="D52" s="520"/>
      <c r="E52" s="521"/>
      <c r="F52" s="522" t="s">
        <v>532</v>
      </c>
      <c r="G52" s="523" t="s">
        <v>533</v>
      </c>
      <c r="H52" s="524" t="s">
        <v>534</v>
      </c>
    </row>
    <row r="53" spans="1:8" s="557" customFormat="1" ht="15.75" customHeight="1" hidden="1">
      <c r="A53" s="661" t="s">
        <v>476</v>
      </c>
      <c r="B53" s="662" t="s">
        <v>71</v>
      </c>
      <c r="C53" s="526" t="s">
        <v>477</v>
      </c>
      <c r="D53" s="663" t="s">
        <v>478</v>
      </c>
      <c r="E53" s="664"/>
      <c r="F53" s="527" t="s">
        <v>479</v>
      </c>
      <c r="G53" s="528" t="s">
        <v>479</v>
      </c>
      <c r="H53" s="529" t="s">
        <v>480</v>
      </c>
    </row>
    <row r="54" spans="1:8" s="557" customFormat="1" ht="15.75" customHeight="1" hidden="1">
      <c r="A54" s="661"/>
      <c r="B54" s="662"/>
      <c r="C54" s="526" t="s">
        <v>481</v>
      </c>
      <c r="D54" s="665" t="s">
        <v>482</v>
      </c>
      <c r="E54" s="667" t="s">
        <v>483</v>
      </c>
      <c r="F54" s="527" t="s">
        <v>484</v>
      </c>
      <c r="G54" s="528" t="s">
        <v>484</v>
      </c>
      <c r="H54" s="529" t="s">
        <v>485</v>
      </c>
    </row>
    <row r="55" spans="1:8" s="557" customFormat="1" ht="15.75" customHeight="1" hidden="1">
      <c r="A55" s="530"/>
      <c r="B55" s="531"/>
      <c r="C55" s="532" t="s">
        <v>486</v>
      </c>
      <c r="D55" s="666"/>
      <c r="E55" s="668"/>
      <c r="F55" s="533" t="s">
        <v>487</v>
      </c>
      <c r="G55" s="534" t="s">
        <v>488</v>
      </c>
      <c r="H55" s="535" t="s">
        <v>489</v>
      </c>
    </row>
    <row r="56" spans="1:8" s="557" customFormat="1" ht="15.75" customHeight="1" hidden="1">
      <c r="A56" s="549"/>
      <c r="B56" s="536" t="s">
        <v>108</v>
      </c>
      <c r="C56" s="537" t="s">
        <v>60</v>
      </c>
      <c r="D56" s="538" t="s">
        <v>108</v>
      </c>
      <c r="E56" s="539"/>
      <c r="F56" s="522"/>
      <c r="G56" s="540" t="s">
        <v>60</v>
      </c>
      <c r="H56" s="541" t="s">
        <v>60</v>
      </c>
    </row>
    <row r="57" spans="1:8" s="557" customFormat="1" ht="15.75" customHeight="1" hidden="1">
      <c r="A57" s="561" t="s">
        <v>535</v>
      </c>
      <c r="B57" s="562">
        <f>SUM(B58:B59)</f>
        <v>979717</v>
      </c>
      <c r="C57" s="563">
        <f>SUM(C58:C59)</f>
        <v>18249</v>
      </c>
      <c r="D57" s="545">
        <f>B57/C57</f>
        <v>53.68606498986246</v>
      </c>
      <c r="E57" s="564"/>
      <c r="F57" s="547">
        <f>D57/101.057</f>
        <v>0.531245386166841</v>
      </c>
      <c r="G57" s="548">
        <f>F57*C57</f>
        <v>9694.697052158683</v>
      </c>
      <c r="H57" s="458">
        <f>G57-C57</f>
        <v>-8554.302947841317</v>
      </c>
    </row>
    <row r="58" spans="1:8" s="557" customFormat="1" ht="15.75" customHeight="1" hidden="1">
      <c r="A58" s="555" t="s">
        <v>536</v>
      </c>
      <c r="B58" s="556">
        <v>425142</v>
      </c>
      <c r="C58" s="550">
        <v>10361</v>
      </c>
      <c r="D58" s="551">
        <f>B58/C58</f>
        <v>41.03291188109256</v>
      </c>
      <c r="E58" s="552">
        <v>53</v>
      </c>
      <c r="F58" s="553">
        <f>D58/101.057</f>
        <v>0.4060373045023359</v>
      </c>
      <c r="G58" s="554">
        <f>F58*C58</f>
        <v>4206.9525119487025</v>
      </c>
      <c r="H58" s="459">
        <f>G58-C58</f>
        <v>-6154.0474880512975</v>
      </c>
    </row>
    <row r="59" spans="1:8" s="557" customFormat="1" ht="15.75" customHeight="1" hidden="1">
      <c r="A59" s="555" t="s">
        <v>537</v>
      </c>
      <c r="B59" s="556">
        <v>554575</v>
      </c>
      <c r="C59" s="550">
        <v>7888</v>
      </c>
      <c r="D59" s="551">
        <f>B59/C59</f>
        <v>70.30616125760649</v>
      </c>
      <c r="E59" s="552">
        <v>27</v>
      </c>
      <c r="F59" s="553">
        <f>D59/101.057</f>
        <v>0.6957079792355452</v>
      </c>
      <c r="G59" s="554">
        <f>F59*C59</f>
        <v>5487.74454020998</v>
      </c>
      <c r="H59" s="459">
        <f>G59-C59</f>
        <v>-2400.25545979002</v>
      </c>
    </row>
    <row r="60" spans="2:8" ht="13.5" hidden="1">
      <c r="B60" s="565"/>
      <c r="C60" s="550"/>
      <c r="D60" s="551"/>
      <c r="E60" s="552"/>
      <c r="F60" s="553"/>
      <c r="G60" s="554"/>
      <c r="H60" s="459"/>
    </row>
    <row r="61" spans="1:8" s="134" customFormat="1" ht="14.25" hidden="1">
      <c r="A61" s="566" t="s">
        <v>538</v>
      </c>
      <c r="B61" s="567">
        <f>SUM(B62:B71)</f>
        <v>4125172</v>
      </c>
      <c r="C61" s="568">
        <f>SUM(C62:C71)</f>
        <v>74643</v>
      </c>
      <c r="D61" s="545">
        <f aca="true" t="shared" si="16" ref="D61:D71">B61/C61</f>
        <v>55.26535642993985</v>
      </c>
      <c r="E61" s="564"/>
      <c r="F61" s="547">
        <f aca="true" t="shared" si="17" ref="F61:F71">D61/101.057</f>
        <v>0.5468731154688923</v>
      </c>
      <c r="G61" s="548">
        <f aca="true" t="shared" si="18" ref="G61:G71">F61*C61</f>
        <v>40820.24995794453</v>
      </c>
      <c r="H61" s="458">
        <f aca="true" t="shared" si="19" ref="H61:H71">G61-C61</f>
        <v>-33822.75004205547</v>
      </c>
    </row>
    <row r="62" spans="1:8" s="557" customFormat="1" ht="15.75" customHeight="1" hidden="1">
      <c r="A62" s="555" t="s">
        <v>539</v>
      </c>
      <c r="B62" s="556">
        <v>1000842</v>
      </c>
      <c r="C62" s="550">
        <v>11710</v>
      </c>
      <c r="D62" s="551">
        <f t="shared" si="16"/>
        <v>85.46900085397097</v>
      </c>
      <c r="E62" s="552">
        <v>19</v>
      </c>
      <c r="F62" s="553">
        <f t="shared" si="17"/>
        <v>0.8457504265312741</v>
      </c>
      <c r="G62" s="554">
        <f t="shared" si="18"/>
        <v>9903.73749468122</v>
      </c>
      <c r="H62" s="459">
        <f t="shared" si="19"/>
        <v>-1806.2625053187803</v>
      </c>
    </row>
    <row r="63" spans="1:8" s="557" customFormat="1" ht="15.75" customHeight="1" hidden="1">
      <c r="A63" s="555" t="s">
        <v>540</v>
      </c>
      <c r="B63" s="556">
        <v>247231</v>
      </c>
      <c r="C63" s="550">
        <v>5008</v>
      </c>
      <c r="D63" s="551">
        <f t="shared" si="16"/>
        <v>49.3672124600639</v>
      </c>
      <c r="E63" s="552">
        <v>44</v>
      </c>
      <c r="F63" s="553">
        <f t="shared" si="17"/>
        <v>0.4885085888168449</v>
      </c>
      <c r="G63" s="554">
        <f t="shared" si="18"/>
        <v>2446.451012794759</v>
      </c>
      <c r="H63" s="459">
        <f t="shared" si="19"/>
        <v>-2561.548987205241</v>
      </c>
    </row>
    <row r="64" spans="1:8" s="557" customFormat="1" ht="15.75" customHeight="1" hidden="1">
      <c r="A64" s="555" t="s">
        <v>541</v>
      </c>
      <c r="B64" s="556">
        <v>825780</v>
      </c>
      <c r="C64" s="550">
        <v>12828</v>
      </c>
      <c r="D64" s="551">
        <f t="shared" si="16"/>
        <v>64.3732460243218</v>
      </c>
      <c r="E64" s="552">
        <v>33</v>
      </c>
      <c r="F64" s="553">
        <f t="shared" si="17"/>
        <v>0.6369993768301236</v>
      </c>
      <c r="G64" s="554">
        <f t="shared" si="18"/>
        <v>8171.428005976826</v>
      </c>
      <c r="H64" s="459">
        <f t="shared" si="19"/>
        <v>-4656.571994023174</v>
      </c>
    </row>
    <row r="65" spans="1:8" s="557" customFormat="1" ht="15.75" customHeight="1" hidden="1">
      <c r="A65" s="555" t="s">
        <v>542</v>
      </c>
      <c r="B65" s="556">
        <v>429794</v>
      </c>
      <c r="C65" s="550">
        <v>5878</v>
      </c>
      <c r="D65" s="551">
        <f t="shared" si="16"/>
        <v>73.11908812521266</v>
      </c>
      <c r="E65" s="552">
        <v>26</v>
      </c>
      <c r="F65" s="553">
        <f t="shared" si="17"/>
        <v>0.7235430314101216</v>
      </c>
      <c r="G65" s="554">
        <f t="shared" si="18"/>
        <v>4252.985938628694</v>
      </c>
      <c r="H65" s="459">
        <f t="shared" si="19"/>
        <v>-1625.0140613713056</v>
      </c>
    </row>
    <row r="66" spans="1:8" s="560" customFormat="1" ht="15.75" customHeight="1" hidden="1">
      <c r="A66" s="558" t="s">
        <v>543</v>
      </c>
      <c r="B66" s="556">
        <v>180883</v>
      </c>
      <c r="C66" s="559">
        <v>6417</v>
      </c>
      <c r="D66" s="551">
        <f t="shared" si="16"/>
        <v>28.18809412498052</v>
      </c>
      <c r="E66" s="552">
        <v>65</v>
      </c>
      <c r="F66" s="553">
        <f t="shared" si="17"/>
        <v>0.2789326234202531</v>
      </c>
      <c r="G66" s="554">
        <f t="shared" si="18"/>
        <v>1789.910644487764</v>
      </c>
      <c r="H66" s="459">
        <f t="shared" si="19"/>
        <v>-4627.089355512236</v>
      </c>
    </row>
    <row r="67" spans="1:8" s="557" customFormat="1" ht="15.75" customHeight="1" hidden="1">
      <c r="A67" s="555" t="s">
        <v>544</v>
      </c>
      <c r="B67" s="556">
        <v>271182</v>
      </c>
      <c r="C67" s="550">
        <v>5882</v>
      </c>
      <c r="D67" s="551">
        <f t="shared" si="16"/>
        <v>46.10370622237334</v>
      </c>
      <c r="E67" s="552">
        <v>47</v>
      </c>
      <c r="F67" s="553">
        <f t="shared" si="17"/>
        <v>0.45621487103687364</v>
      </c>
      <c r="G67" s="554">
        <f t="shared" si="18"/>
        <v>2683.455871438891</v>
      </c>
      <c r="H67" s="459">
        <f t="shared" si="19"/>
        <v>-3198.544128561109</v>
      </c>
    </row>
    <row r="68" spans="1:8" s="557" customFormat="1" ht="15.75" customHeight="1" hidden="1">
      <c r="A68" s="555" t="s">
        <v>545</v>
      </c>
      <c r="B68" s="556">
        <v>317177</v>
      </c>
      <c r="C68" s="550">
        <v>6674</v>
      </c>
      <c r="D68" s="551">
        <f t="shared" si="16"/>
        <v>47.52427329937069</v>
      </c>
      <c r="E68" s="552">
        <v>46</v>
      </c>
      <c r="F68" s="553">
        <f t="shared" si="17"/>
        <v>0.47027195839348773</v>
      </c>
      <c r="G68" s="554">
        <f t="shared" si="18"/>
        <v>3138.595050318137</v>
      </c>
      <c r="H68" s="459">
        <f t="shared" si="19"/>
        <v>-3535.404949681863</v>
      </c>
    </row>
    <row r="69" spans="1:8" s="557" customFormat="1" ht="15.75" customHeight="1" hidden="1">
      <c r="A69" s="555" t="s">
        <v>546</v>
      </c>
      <c r="B69" s="556">
        <v>243499</v>
      </c>
      <c r="C69" s="550">
        <v>6352</v>
      </c>
      <c r="D69" s="551">
        <f t="shared" si="16"/>
        <v>38.334225440806044</v>
      </c>
      <c r="E69" s="552">
        <v>58</v>
      </c>
      <c r="F69" s="553">
        <f t="shared" si="17"/>
        <v>0.37933270768780036</v>
      </c>
      <c r="G69" s="554">
        <f t="shared" si="18"/>
        <v>2409.521359232908</v>
      </c>
      <c r="H69" s="459">
        <f t="shared" si="19"/>
        <v>-3942.478640767092</v>
      </c>
    </row>
    <row r="70" spans="1:8" s="557" customFormat="1" ht="15.75" customHeight="1" hidden="1">
      <c r="A70" s="555" t="s">
        <v>547</v>
      </c>
      <c r="B70" s="556">
        <v>230921</v>
      </c>
      <c r="C70" s="550">
        <v>4530</v>
      </c>
      <c r="D70" s="551">
        <f t="shared" si="16"/>
        <v>50.97593818984547</v>
      </c>
      <c r="E70" s="552">
        <v>42</v>
      </c>
      <c r="F70" s="553">
        <f t="shared" si="17"/>
        <v>0.5044275823529837</v>
      </c>
      <c r="G70" s="554">
        <f t="shared" si="18"/>
        <v>2285.056948059016</v>
      </c>
      <c r="H70" s="459">
        <f t="shared" si="19"/>
        <v>-2244.943051940984</v>
      </c>
    </row>
    <row r="71" spans="1:8" s="560" customFormat="1" ht="15.75" customHeight="1" hidden="1">
      <c r="A71" s="558" t="s">
        <v>548</v>
      </c>
      <c r="B71" s="556">
        <v>377863</v>
      </c>
      <c r="C71" s="559">
        <v>9364</v>
      </c>
      <c r="D71" s="551">
        <f t="shared" si="16"/>
        <v>40.35273387441264</v>
      </c>
      <c r="E71" s="552">
        <v>55</v>
      </c>
      <c r="F71" s="553">
        <f t="shared" si="17"/>
        <v>0.39930666727107117</v>
      </c>
      <c r="G71" s="554">
        <f t="shared" si="18"/>
        <v>3739.1076323263105</v>
      </c>
      <c r="H71" s="459">
        <f t="shared" si="19"/>
        <v>-5624.8923676736895</v>
      </c>
    </row>
    <row r="72" spans="2:8" ht="13.5" hidden="1">
      <c r="B72" s="565"/>
      <c r="C72" s="550"/>
      <c r="D72" s="551"/>
      <c r="E72" s="552"/>
      <c r="F72" s="553"/>
      <c r="G72" s="554"/>
      <c r="H72" s="459"/>
    </row>
    <row r="73" spans="1:8" s="134" customFormat="1" ht="14.25" hidden="1">
      <c r="A73" s="566" t="s">
        <v>549</v>
      </c>
      <c r="B73" s="567">
        <f>SUM(B74:B86)</f>
        <v>8135707</v>
      </c>
      <c r="C73" s="568">
        <f>SUM(C74:C86)</f>
        <v>112205</v>
      </c>
      <c r="D73" s="545">
        <f aca="true" t="shared" si="20" ref="D73:D86">B73/C73</f>
        <v>72.50752640256673</v>
      </c>
      <c r="E73" s="564"/>
      <c r="F73" s="547">
        <f aca="true" t="shared" si="21" ref="F73:F86">D73/101.057</f>
        <v>0.7174913801376127</v>
      </c>
      <c r="G73" s="548">
        <f aca="true" t="shared" si="22" ref="G73:G86">F73*C73</f>
        <v>80506.12030834083</v>
      </c>
      <c r="H73" s="458">
        <f aca="true" t="shared" si="23" ref="H73:H86">G73-C73</f>
        <v>-31698.879691659167</v>
      </c>
    </row>
    <row r="74" spans="1:8" s="557" customFormat="1" ht="15.75" customHeight="1" hidden="1">
      <c r="A74" s="555" t="s">
        <v>550</v>
      </c>
      <c r="B74" s="556">
        <v>404705</v>
      </c>
      <c r="C74" s="550">
        <v>5936</v>
      </c>
      <c r="D74" s="551">
        <f t="shared" si="20"/>
        <v>68.17806603773585</v>
      </c>
      <c r="E74" s="552">
        <v>30</v>
      </c>
      <c r="F74" s="553">
        <f t="shared" si="21"/>
        <v>0.6746496139578242</v>
      </c>
      <c r="G74" s="554">
        <f t="shared" si="22"/>
        <v>4004.7201084536446</v>
      </c>
      <c r="H74" s="459">
        <f t="shared" si="23"/>
        <v>-1931.2798915463554</v>
      </c>
    </row>
    <row r="75" spans="1:8" s="557" customFormat="1" ht="15.75" customHeight="1" hidden="1">
      <c r="A75" s="555" t="s">
        <v>551</v>
      </c>
      <c r="B75" s="556">
        <v>472704</v>
      </c>
      <c r="C75" s="550">
        <v>10320</v>
      </c>
      <c r="D75" s="551">
        <f t="shared" si="20"/>
        <v>45.8046511627907</v>
      </c>
      <c r="E75" s="552">
        <v>48</v>
      </c>
      <c r="F75" s="553">
        <f t="shared" si="21"/>
        <v>0.4532555999365773</v>
      </c>
      <c r="G75" s="554">
        <f t="shared" si="22"/>
        <v>4677.597791345478</v>
      </c>
      <c r="H75" s="459">
        <f t="shared" si="23"/>
        <v>-5642.402208654522</v>
      </c>
    </row>
    <row r="76" spans="1:8" s="557" customFormat="1" ht="15.75" customHeight="1" hidden="1">
      <c r="A76" s="555" t="s">
        <v>552</v>
      </c>
      <c r="B76" s="556">
        <v>1998955</v>
      </c>
      <c r="C76" s="550">
        <v>14130</v>
      </c>
      <c r="D76" s="551">
        <f t="shared" si="20"/>
        <v>141.46886058032555</v>
      </c>
      <c r="E76" s="552">
        <v>6</v>
      </c>
      <c r="F76" s="553">
        <f t="shared" si="21"/>
        <v>1.3998917500056953</v>
      </c>
      <c r="G76" s="554">
        <f t="shared" si="22"/>
        <v>19780.470427580476</v>
      </c>
      <c r="H76" s="459">
        <f t="shared" si="23"/>
        <v>5650.470427580476</v>
      </c>
    </row>
    <row r="77" spans="1:8" s="557" customFormat="1" ht="15.75" customHeight="1" hidden="1">
      <c r="A77" s="555" t="s">
        <v>553</v>
      </c>
      <c r="B77" s="556">
        <v>518920</v>
      </c>
      <c r="C77" s="550">
        <v>7052</v>
      </c>
      <c r="D77" s="551">
        <f t="shared" si="20"/>
        <v>73.58479863868406</v>
      </c>
      <c r="E77" s="552">
        <v>25</v>
      </c>
      <c r="F77" s="553">
        <f t="shared" si="21"/>
        <v>0.7281514258159658</v>
      </c>
      <c r="G77" s="554">
        <f t="shared" si="22"/>
        <v>5134.923854854191</v>
      </c>
      <c r="H77" s="459">
        <f t="shared" si="23"/>
        <v>-1917.0761451458093</v>
      </c>
    </row>
    <row r="78" spans="1:8" s="560" customFormat="1" ht="15.75" customHeight="1" hidden="1">
      <c r="A78" s="558" t="s">
        <v>554</v>
      </c>
      <c r="B78" s="556">
        <v>1307893</v>
      </c>
      <c r="C78" s="559">
        <v>11474</v>
      </c>
      <c r="D78" s="551">
        <f t="shared" si="20"/>
        <v>113.98753704026495</v>
      </c>
      <c r="E78" s="552"/>
      <c r="F78" s="553">
        <f t="shared" si="21"/>
        <v>1.1279529081633628</v>
      </c>
      <c r="G78" s="554">
        <f t="shared" si="22"/>
        <v>12942.131668266426</v>
      </c>
      <c r="H78" s="459">
        <f t="shared" si="23"/>
        <v>1468.1316682664255</v>
      </c>
    </row>
    <row r="79" spans="1:8" s="557" customFormat="1" ht="15.75" customHeight="1" hidden="1">
      <c r="A79" s="555" t="s">
        <v>555</v>
      </c>
      <c r="B79" s="556">
        <v>1079209</v>
      </c>
      <c r="C79" s="550">
        <v>12457</v>
      </c>
      <c r="D79" s="551">
        <f t="shared" si="20"/>
        <v>86.6347435177009</v>
      </c>
      <c r="E79" s="552">
        <v>18</v>
      </c>
      <c r="F79" s="553">
        <f t="shared" si="21"/>
        <v>0.8572859229712033</v>
      </c>
      <c r="G79" s="554">
        <f t="shared" si="22"/>
        <v>10679.21074245228</v>
      </c>
      <c r="H79" s="459">
        <f t="shared" si="23"/>
        <v>-1777.78925754772</v>
      </c>
    </row>
    <row r="80" spans="1:8" s="557" customFormat="1" ht="15.75" customHeight="1" hidden="1">
      <c r="A80" s="555" t="s">
        <v>556</v>
      </c>
      <c r="B80" s="556">
        <v>375145</v>
      </c>
      <c r="C80" s="550">
        <v>8943</v>
      </c>
      <c r="D80" s="551">
        <f t="shared" si="20"/>
        <v>41.94845130269484</v>
      </c>
      <c r="E80" s="552">
        <v>50</v>
      </c>
      <c r="F80" s="553">
        <f t="shared" si="21"/>
        <v>0.4150969383881853</v>
      </c>
      <c r="G80" s="554">
        <f t="shared" si="22"/>
        <v>3712.211920005541</v>
      </c>
      <c r="H80" s="459">
        <f t="shared" si="23"/>
        <v>-5230.78807999446</v>
      </c>
    </row>
    <row r="81" spans="1:8" s="557" customFormat="1" ht="15.75" customHeight="1" hidden="1">
      <c r="A81" s="555" t="s">
        <v>557</v>
      </c>
      <c r="B81" s="556">
        <v>186980</v>
      </c>
      <c r="C81" s="550">
        <v>4531</v>
      </c>
      <c r="D81" s="551">
        <f t="shared" si="20"/>
        <v>41.266828514676675</v>
      </c>
      <c r="E81" s="552">
        <v>52</v>
      </c>
      <c r="F81" s="553">
        <f t="shared" si="21"/>
        <v>0.4083520044596285</v>
      </c>
      <c r="G81" s="554">
        <f t="shared" si="22"/>
        <v>1850.2429322065766</v>
      </c>
      <c r="H81" s="459">
        <f t="shared" si="23"/>
        <v>-2680.7570677934236</v>
      </c>
    </row>
    <row r="82" spans="1:8" s="557" customFormat="1" ht="15.75" customHeight="1" hidden="1">
      <c r="A82" s="555" t="s">
        <v>558</v>
      </c>
      <c r="B82" s="556">
        <v>276336</v>
      </c>
      <c r="C82" s="550">
        <v>7794</v>
      </c>
      <c r="D82" s="551">
        <f t="shared" si="20"/>
        <v>35.454965357967666</v>
      </c>
      <c r="E82" s="552">
        <v>59</v>
      </c>
      <c r="F82" s="553">
        <f t="shared" si="21"/>
        <v>0.35084126144619043</v>
      </c>
      <c r="G82" s="554">
        <f t="shared" si="22"/>
        <v>2734.4567917116083</v>
      </c>
      <c r="H82" s="459">
        <f t="shared" si="23"/>
        <v>-5059.543208288392</v>
      </c>
    </row>
    <row r="83" spans="1:8" s="560" customFormat="1" ht="15.75" customHeight="1" hidden="1">
      <c r="A83" s="558" t="s">
        <v>559</v>
      </c>
      <c r="B83" s="556">
        <v>198293</v>
      </c>
      <c r="C83" s="559">
        <v>5794</v>
      </c>
      <c r="D83" s="551">
        <f t="shared" si="20"/>
        <v>34.22385226095961</v>
      </c>
      <c r="E83" s="552">
        <v>60</v>
      </c>
      <c r="F83" s="553">
        <f t="shared" si="21"/>
        <v>0.33865889805713223</v>
      </c>
      <c r="G83" s="554">
        <f t="shared" si="22"/>
        <v>1962.1896553430242</v>
      </c>
      <c r="H83" s="459">
        <f t="shared" si="23"/>
        <v>-3831.8103446569758</v>
      </c>
    </row>
    <row r="84" spans="1:8" s="557" customFormat="1" ht="15.75" customHeight="1" hidden="1">
      <c r="A84" s="555" t="s">
        <v>560</v>
      </c>
      <c r="B84" s="556">
        <v>418250</v>
      </c>
      <c r="C84" s="550">
        <v>7482</v>
      </c>
      <c r="D84" s="551">
        <f t="shared" si="20"/>
        <v>55.900828655439724</v>
      </c>
      <c r="E84" s="552">
        <v>37</v>
      </c>
      <c r="F84" s="553">
        <f t="shared" si="21"/>
        <v>0.5531613708643609</v>
      </c>
      <c r="G84" s="554">
        <f t="shared" si="22"/>
        <v>4138.753376807148</v>
      </c>
      <c r="H84" s="459">
        <f t="shared" si="23"/>
        <v>-3343.246623192852</v>
      </c>
    </row>
    <row r="85" spans="1:8" s="557" customFormat="1" ht="15.75" customHeight="1" hidden="1">
      <c r="A85" s="555" t="s">
        <v>561</v>
      </c>
      <c r="B85" s="556">
        <v>281825</v>
      </c>
      <c r="C85" s="550">
        <v>8254</v>
      </c>
      <c r="D85" s="551">
        <f t="shared" si="20"/>
        <v>34.14405136903319</v>
      </c>
      <c r="E85" s="552">
        <v>61</v>
      </c>
      <c r="F85" s="553">
        <f t="shared" si="21"/>
        <v>0.33786923586721546</v>
      </c>
      <c r="G85" s="554">
        <f t="shared" si="22"/>
        <v>2788.7726728479965</v>
      </c>
      <c r="H85" s="459">
        <f t="shared" si="23"/>
        <v>-5465.227327152003</v>
      </c>
    </row>
    <row r="86" spans="1:8" s="557" customFormat="1" ht="15.75" customHeight="1" hidden="1">
      <c r="A86" s="555" t="s">
        <v>562</v>
      </c>
      <c r="B86" s="556">
        <v>616492</v>
      </c>
      <c r="C86" s="550">
        <v>8038</v>
      </c>
      <c r="D86" s="551">
        <f t="shared" si="20"/>
        <v>76.69718835531226</v>
      </c>
      <c r="E86" s="552">
        <v>24</v>
      </c>
      <c r="F86" s="553">
        <f t="shared" si="21"/>
        <v>0.7589497843327258</v>
      </c>
      <c r="G86" s="554">
        <f t="shared" si="22"/>
        <v>6100.438366466449</v>
      </c>
      <c r="H86" s="459">
        <f t="shared" si="23"/>
        <v>-1937.5616335335508</v>
      </c>
    </row>
    <row r="87" spans="2:8" ht="13.5" hidden="1">
      <c r="B87" s="565"/>
      <c r="C87" s="550"/>
      <c r="D87" s="551"/>
      <c r="E87" s="552"/>
      <c r="F87" s="553"/>
      <c r="G87" s="554"/>
      <c r="H87" s="459"/>
    </row>
    <row r="88" spans="1:8" s="134" customFormat="1" ht="14.25" hidden="1">
      <c r="A88" s="566" t="s">
        <v>563</v>
      </c>
      <c r="B88" s="567">
        <f>SUM(B89:B95)</f>
        <v>5234187</v>
      </c>
      <c r="C88" s="568">
        <f>SUM(C89:C95)</f>
        <v>65880</v>
      </c>
      <c r="D88" s="545">
        <f aca="true" t="shared" si="24" ref="D88:D95">B88/C88</f>
        <v>79.45031876138434</v>
      </c>
      <c r="E88" s="564"/>
      <c r="F88" s="547">
        <f aca="true" t="shared" si="25" ref="F88:F95">D88/101.057</f>
        <v>0.7861931262691781</v>
      </c>
      <c r="G88" s="548">
        <f aca="true" t="shared" si="26" ref="G88:G95">F88*C88</f>
        <v>51794.40315861346</v>
      </c>
      <c r="H88" s="458">
        <f aca="true" t="shared" si="27" ref="H88:H95">G88-C88</f>
        <v>-14085.596841386541</v>
      </c>
    </row>
    <row r="89" spans="1:8" s="557" customFormat="1" ht="15.75" customHeight="1" hidden="1">
      <c r="A89" s="555" t="s">
        <v>564</v>
      </c>
      <c r="B89" s="556">
        <v>428497</v>
      </c>
      <c r="C89" s="550">
        <v>8720</v>
      </c>
      <c r="D89" s="551">
        <f t="shared" si="24"/>
        <v>49.13956422018349</v>
      </c>
      <c r="E89" s="552">
        <v>45</v>
      </c>
      <c r="F89" s="553">
        <f t="shared" si="25"/>
        <v>0.4862559171574803</v>
      </c>
      <c r="G89" s="554">
        <f t="shared" si="26"/>
        <v>4240.151597613228</v>
      </c>
      <c r="H89" s="459">
        <f t="shared" si="27"/>
        <v>-4479.848402386772</v>
      </c>
    </row>
    <row r="90" spans="1:8" s="557" customFormat="1" ht="15.75" customHeight="1" hidden="1">
      <c r="A90" s="555" t="s">
        <v>565</v>
      </c>
      <c r="B90" s="556">
        <v>894636</v>
      </c>
      <c r="C90" s="550">
        <v>14386</v>
      </c>
      <c r="D90" s="551">
        <f t="shared" si="24"/>
        <v>62.18796051716947</v>
      </c>
      <c r="E90" s="552">
        <v>34</v>
      </c>
      <c r="F90" s="553">
        <f t="shared" si="25"/>
        <v>0.6153750904654747</v>
      </c>
      <c r="G90" s="554">
        <f t="shared" si="26"/>
        <v>8852.786051436318</v>
      </c>
      <c r="H90" s="459">
        <f t="shared" si="27"/>
        <v>-5533.213948563682</v>
      </c>
    </row>
    <row r="91" spans="1:8" s="557" customFormat="1" ht="15.75" customHeight="1" hidden="1">
      <c r="A91" s="555" t="s">
        <v>566</v>
      </c>
      <c r="B91" s="556">
        <v>843808</v>
      </c>
      <c r="C91" s="550">
        <v>10822</v>
      </c>
      <c r="D91" s="551">
        <f t="shared" si="24"/>
        <v>77.97153945666236</v>
      </c>
      <c r="E91" s="552">
        <v>22</v>
      </c>
      <c r="F91" s="553">
        <f t="shared" si="25"/>
        <v>0.7715600053104916</v>
      </c>
      <c r="G91" s="554">
        <f t="shared" si="26"/>
        <v>8349.82237747014</v>
      </c>
      <c r="H91" s="459">
        <f t="shared" si="27"/>
        <v>-2472.17762252986</v>
      </c>
    </row>
    <row r="92" spans="1:8" s="557" customFormat="1" ht="15.75" customHeight="1" hidden="1">
      <c r="A92" s="555" t="s">
        <v>567</v>
      </c>
      <c r="B92" s="556">
        <v>632972</v>
      </c>
      <c r="C92" s="550">
        <v>7749</v>
      </c>
      <c r="D92" s="551">
        <f t="shared" si="24"/>
        <v>81.68434636727319</v>
      </c>
      <c r="E92" s="552">
        <v>21</v>
      </c>
      <c r="F92" s="553">
        <f t="shared" si="25"/>
        <v>0.8082997354688264</v>
      </c>
      <c r="G92" s="554">
        <f t="shared" si="26"/>
        <v>6263.514650147936</v>
      </c>
      <c r="H92" s="459">
        <f t="shared" si="27"/>
        <v>-1485.4853498520642</v>
      </c>
    </row>
    <row r="93" spans="1:8" s="560" customFormat="1" ht="15.75" customHeight="1" hidden="1">
      <c r="A93" s="558" t="s">
        <v>568</v>
      </c>
      <c r="B93" s="556">
        <v>2140933</v>
      </c>
      <c r="C93" s="559">
        <v>14212</v>
      </c>
      <c r="D93" s="551">
        <f t="shared" si="24"/>
        <v>150.6426259499015</v>
      </c>
      <c r="E93" s="552">
        <v>4</v>
      </c>
      <c r="F93" s="553">
        <f t="shared" si="25"/>
        <v>1.490669878879261</v>
      </c>
      <c r="G93" s="554">
        <f t="shared" si="26"/>
        <v>21185.400318632055</v>
      </c>
      <c r="H93" s="459">
        <f t="shared" si="27"/>
        <v>6973.400318632055</v>
      </c>
    </row>
    <row r="94" spans="1:8" s="557" customFormat="1" ht="15.75" customHeight="1" hidden="1">
      <c r="A94" s="555" t="s">
        <v>569</v>
      </c>
      <c r="B94" s="556">
        <v>118321</v>
      </c>
      <c r="C94" s="550">
        <v>4358</v>
      </c>
      <c r="D94" s="551">
        <f t="shared" si="24"/>
        <v>27.150298301973383</v>
      </c>
      <c r="E94" s="552">
        <v>67</v>
      </c>
      <c r="F94" s="553">
        <f t="shared" si="25"/>
        <v>0.26866321285980566</v>
      </c>
      <c r="G94" s="554">
        <f t="shared" si="26"/>
        <v>1170.8342816430331</v>
      </c>
      <c r="H94" s="459">
        <f t="shared" si="27"/>
        <v>-3187.165718356967</v>
      </c>
    </row>
    <row r="95" spans="1:8" s="557" customFormat="1" ht="15.75" customHeight="1" hidden="1">
      <c r="A95" s="555" t="s">
        <v>570</v>
      </c>
      <c r="B95" s="556">
        <v>175020</v>
      </c>
      <c r="C95" s="550">
        <v>5633</v>
      </c>
      <c r="D95" s="551">
        <f t="shared" si="24"/>
        <v>31.070477543049886</v>
      </c>
      <c r="E95" s="552">
        <v>63</v>
      </c>
      <c r="F95" s="553">
        <f t="shared" si="25"/>
        <v>0.3074549763306835</v>
      </c>
      <c r="G95" s="554">
        <f t="shared" si="26"/>
        <v>1731.8938816707403</v>
      </c>
      <c r="H95" s="459">
        <f t="shared" si="27"/>
        <v>-3901.1061183292595</v>
      </c>
    </row>
    <row r="96" spans="2:8" ht="13.5" hidden="1">
      <c r="B96" s="565"/>
      <c r="C96" s="550"/>
      <c r="D96" s="551"/>
      <c r="E96" s="552"/>
      <c r="F96" s="553"/>
      <c r="G96" s="554"/>
      <c r="H96" s="459"/>
    </row>
    <row r="97" spans="1:8" s="134" customFormat="1" ht="14.25" hidden="1">
      <c r="A97" s="566" t="s">
        <v>571</v>
      </c>
      <c r="B97" s="567">
        <f>SUM(B98:B102)</f>
        <v>2600258</v>
      </c>
      <c r="C97" s="568">
        <f>SUM(C98:C102)</f>
        <v>44099</v>
      </c>
      <c r="D97" s="545">
        <f aca="true" t="shared" si="28" ref="D97:D102">B97/C97</f>
        <v>58.9641034944103</v>
      </c>
      <c r="E97" s="564"/>
      <c r="F97" s="547">
        <f aca="true" t="shared" si="29" ref="F97:F102">D97/101.057</f>
        <v>0.5834737177475118</v>
      </c>
      <c r="G97" s="548">
        <f aca="true" t="shared" si="30" ref="G97:G102">F97*C97</f>
        <v>25730.60747894752</v>
      </c>
      <c r="H97" s="458">
        <f aca="true" t="shared" si="31" ref="H97:H102">G97-C97</f>
        <v>-18368.39252105248</v>
      </c>
    </row>
    <row r="98" spans="1:8" s="557" customFormat="1" ht="15.75" customHeight="1" hidden="1">
      <c r="A98" s="555" t="s">
        <v>572</v>
      </c>
      <c r="B98" s="556">
        <v>681397</v>
      </c>
      <c r="C98" s="550">
        <v>10365</v>
      </c>
      <c r="D98" s="551">
        <f t="shared" si="28"/>
        <v>65.7401833092137</v>
      </c>
      <c r="E98" s="552">
        <v>32</v>
      </c>
      <c r="F98" s="553">
        <f t="shared" si="29"/>
        <v>0.6505257756435844</v>
      </c>
      <c r="G98" s="554">
        <f t="shared" si="30"/>
        <v>6742.699664545752</v>
      </c>
      <c r="H98" s="459">
        <f t="shared" si="31"/>
        <v>-3622.300335454248</v>
      </c>
    </row>
    <row r="99" spans="1:8" s="557" customFormat="1" ht="15.75" customHeight="1" hidden="1">
      <c r="A99" s="555" t="s">
        <v>573</v>
      </c>
      <c r="B99" s="556">
        <v>629186</v>
      </c>
      <c r="C99" s="550">
        <v>9043</v>
      </c>
      <c r="D99" s="551">
        <f t="shared" si="28"/>
        <v>69.57713148291496</v>
      </c>
      <c r="E99" s="552">
        <v>28</v>
      </c>
      <c r="F99" s="553">
        <f t="shared" si="29"/>
        <v>0.6884939339473264</v>
      </c>
      <c r="G99" s="554">
        <f t="shared" si="30"/>
        <v>6226.0506446856725</v>
      </c>
      <c r="H99" s="459">
        <f t="shared" si="31"/>
        <v>-2816.9493553143275</v>
      </c>
    </row>
    <row r="100" spans="1:8" s="557" customFormat="1" ht="15.75" customHeight="1" hidden="1">
      <c r="A100" s="555" t="s">
        <v>574</v>
      </c>
      <c r="B100" s="556">
        <v>1138328</v>
      </c>
      <c r="C100" s="550">
        <v>18596</v>
      </c>
      <c r="D100" s="551">
        <f t="shared" si="28"/>
        <v>61.21359432135943</v>
      </c>
      <c r="E100" s="552">
        <v>35</v>
      </c>
      <c r="F100" s="553">
        <f t="shared" si="29"/>
        <v>0.6057333417908648</v>
      </c>
      <c r="G100" s="554">
        <f t="shared" si="30"/>
        <v>11264.217223942922</v>
      </c>
      <c r="H100" s="459">
        <f t="shared" si="31"/>
        <v>-7331.782776057078</v>
      </c>
    </row>
    <row r="101" spans="1:8" s="557" customFormat="1" ht="15.75" customHeight="1" hidden="1">
      <c r="A101" s="555" t="s">
        <v>575</v>
      </c>
      <c r="B101" s="556">
        <v>89657</v>
      </c>
      <c r="C101" s="550">
        <v>3225</v>
      </c>
      <c r="D101" s="551">
        <f t="shared" si="28"/>
        <v>27.80062015503876</v>
      </c>
      <c r="E101" s="552">
        <v>66</v>
      </c>
      <c r="F101" s="553">
        <f t="shared" si="29"/>
        <v>0.2750984113424974</v>
      </c>
      <c r="G101" s="554">
        <f t="shared" si="30"/>
        <v>887.1923765795541</v>
      </c>
      <c r="H101" s="459">
        <f t="shared" si="31"/>
        <v>-2337.807623420446</v>
      </c>
    </row>
    <row r="102" spans="1:8" s="560" customFormat="1" ht="15.75" customHeight="1" hidden="1">
      <c r="A102" s="558" t="s">
        <v>576</v>
      </c>
      <c r="B102" s="556">
        <v>61690</v>
      </c>
      <c r="C102" s="559">
        <v>2870</v>
      </c>
      <c r="D102" s="551">
        <f t="shared" si="28"/>
        <v>21.494773519163765</v>
      </c>
      <c r="E102" s="552">
        <v>69</v>
      </c>
      <c r="F102" s="553">
        <f t="shared" si="29"/>
        <v>0.21269950146119285</v>
      </c>
      <c r="G102" s="554">
        <f t="shared" si="30"/>
        <v>610.4475691936235</v>
      </c>
      <c r="H102" s="459">
        <f t="shared" si="31"/>
        <v>-2259.5524308063764</v>
      </c>
    </row>
    <row r="103" spans="2:8" ht="13.5">
      <c r="B103" s="569"/>
      <c r="C103" s="550"/>
      <c r="D103" s="570"/>
      <c r="E103" s="571"/>
      <c r="F103" s="553"/>
      <c r="G103" s="554"/>
      <c r="H103" s="459"/>
    </row>
    <row r="104" spans="2:8" ht="13.5">
      <c r="B104" s="569"/>
      <c r="C104" s="550"/>
      <c r="D104" s="570"/>
      <c r="E104" s="571"/>
      <c r="F104" s="553"/>
      <c r="G104" s="554"/>
      <c r="H104" s="459"/>
    </row>
    <row r="105" spans="2:8" ht="13.5">
      <c r="B105" s="569"/>
      <c r="C105" s="550"/>
      <c r="D105" s="570"/>
      <c r="E105" s="571"/>
      <c r="F105" s="553"/>
      <c r="G105" s="554"/>
      <c r="H105" s="459"/>
    </row>
    <row r="106" spans="2:8" ht="13.5">
      <c r="B106" s="569"/>
      <c r="C106" s="550"/>
      <c r="D106" s="570"/>
      <c r="E106" s="571"/>
      <c r="F106" s="553"/>
      <c r="G106" s="554"/>
      <c r="H106" s="459"/>
    </row>
    <row r="107" spans="2:8" ht="13.5">
      <c r="B107" s="569"/>
      <c r="C107" s="550"/>
      <c r="D107" s="570"/>
      <c r="E107" s="571"/>
      <c r="F107" s="553"/>
      <c r="G107" s="554"/>
      <c r="H107" s="459"/>
    </row>
    <row r="108" spans="2:8" ht="13.5">
      <c r="B108" s="569"/>
      <c r="C108" s="550"/>
      <c r="D108" s="570"/>
      <c r="E108" s="571"/>
      <c r="F108" s="553"/>
      <c r="G108" s="554"/>
      <c r="H108" s="459"/>
    </row>
    <row r="109" spans="2:8" ht="13.5">
      <c r="B109" s="569"/>
      <c r="C109" s="550"/>
      <c r="D109" s="570"/>
      <c r="E109" s="571"/>
      <c r="F109" s="553"/>
      <c r="G109" s="554"/>
      <c r="H109" s="459"/>
    </row>
    <row r="110" spans="2:8" ht="13.5">
      <c r="B110" s="569"/>
      <c r="C110" s="550"/>
      <c r="D110" s="570"/>
      <c r="E110" s="571"/>
      <c r="F110" s="553"/>
      <c r="G110" s="554"/>
      <c r="H110" s="459"/>
    </row>
    <row r="111" spans="2:8" ht="13.5">
      <c r="B111" s="569"/>
      <c r="C111" s="550"/>
      <c r="D111" s="570"/>
      <c r="E111" s="571"/>
      <c r="F111" s="553"/>
      <c r="G111" s="554"/>
      <c r="H111" s="459"/>
    </row>
    <row r="112" spans="2:8" ht="13.5">
      <c r="B112" s="569"/>
      <c r="C112" s="550"/>
      <c r="D112" s="570"/>
      <c r="E112" s="571"/>
      <c r="F112" s="553"/>
      <c r="G112" s="554"/>
      <c r="H112" s="459"/>
    </row>
    <row r="113" spans="2:8" ht="13.5">
      <c r="B113" s="569"/>
      <c r="C113" s="550"/>
      <c r="D113" s="570"/>
      <c r="E113" s="571"/>
      <c r="F113" s="553"/>
      <c r="G113" s="554"/>
      <c r="H113" s="459"/>
    </row>
    <row r="114" spans="2:8" ht="13.5">
      <c r="B114" s="569"/>
      <c r="C114" s="550"/>
      <c r="D114" s="570"/>
      <c r="E114" s="571"/>
      <c r="F114" s="553"/>
      <c r="G114" s="554"/>
      <c r="H114" s="459"/>
    </row>
    <row r="115" spans="2:8" ht="13.5">
      <c r="B115" s="569"/>
      <c r="C115" s="550"/>
      <c r="D115" s="570"/>
      <c r="E115" s="571"/>
      <c r="F115" s="553"/>
      <c r="G115" s="554"/>
      <c r="H115" s="459"/>
    </row>
    <row r="116" spans="2:8" ht="13.5">
      <c r="B116" s="569"/>
      <c r="C116" s="550"/>
      <c r="D116" s="570"/>
      <c r="E116" s="571"/>
      <c r="F116" s="553"/>
      <c r="G116" s="554"/>
      <c r="H116" s="459"/>
    </row>
    <row r="117" spans="2:8" ht="13.5">
      <c r="B117" s="569"/>
      <c r="C117" s="550"/>
      <c r="D117" s="551"/>
      <c r="E117" s="552"/>
      <c r="F117" s="553"/>
      <c r="G117" s="554"/>
      <c r="H117" s="459"/>
    </row>
    <row r="118" spans="2:8" ht="13.5">
      <c r="B118" s="569"/>
      <c r="C118" s="550"/>
      <c r="D118" s="551"/>
      <c r="E118" s="552"/>
      <c r="F118" s="553"/>
      <c r="G118" s="554"/>
      <c r="H118" s="459"/>
    </row>
    <row r="119" spans="2:8" ht="13.5">
      <c r="B119" s="569"/>
      <c r="C119" s="550"/>
      <c r="D119" s="551"/>
      <c r="E119" s="552"/>
      <c r="F119" s="553"/>
      <c r="G119" s="554"/>
      <c r="H119" s="459"/>
    </row>
    <row r="120" spans="2:8" ht="13.5">
      <c r="B120" s="569"/>
      <c r="C120" s="550"/>
      <c r="D120" s="551"/>
      <c r="E120" s="552"/>
      <c r="F120" s="553"/>
      <c r="G120" s="554"/>
      <c r="H120" s="459"/>
    </row>
    <row r="121" spans="2:8" ht="13.5">
      <c r="B121" s="569"/>
      <c r="C121" s="550"/>
      <c r="D121" s="551"/>
      <c r="E121" s="552"/>
      <c r="F121" s="553"/>
      <c r="G121" s="554"/>
      <c r="H121" s="459"/>
    </row>
    <row r="122" spans="2:8" ht="13.5">
      <c r="B122" s="569"/>
      <c r="C122" s="550"/>
      <c r="D122" s="551"/>
      <c r="E122" s="552"/>
      <c r="F122" s="553"/>
      <c r="G122" s="554"/>
      <c r="H122" s="459"/>
    </row>
    <row r="123" spans="2:8" ht="13.5">
      <c r="B123" s="569"/>
      <c r="C123" s="550"/>
      <c r="D123" s="551"/>
      <c r="E123" s="552"/>
      <c r="F123" s="553"/>
      <c r="G123" s="554"/>
      <c r="H123" s="459"/>
    </row>
    <row r="124" spans="2:8" ht="13.5">
      <c r="B124" s="569"/>
      <c r="C124" s="550"/>
      <c r="D124" s="551"/>
      <c r="E124" s="552"/>
      <c r="F124" s="553"/>
      <c r="G124" s="554"/>
      <c r="H124" s="459"/>
    </row>
    <row r="125" spans="2:8" ht="13.5">
      <c r="B125" s="569"/>
      <c r="C125" s="550"/>
      <c r="D125" s="551"/>
      <c r="E125" s="552"/>
      <c r="F125" s="553"/>
      <c r="G125" s="554"/>
      <c r="H125" s="459"/>
    </row>
    <row r="126" spans="2:8" ht="13.5">
      <c r="B126" s="569"/>
      <c r="C126" s="550"/>
      <c r="D126" s="551"/>
      <c r="E126" s="552"/>
      <c r="F126" s="553"/>
      <c r="G126" s="554"/>
      <c r="H126" s="459"/>
    </row>
    <row r="127" spans="2:8" ht="13.5">
      <c r="B127" s="569"/>
      <c r="C127" s="550"/>
      <c r="D127" s="551"/>
      <c r="E127" s="552"/>
      <c r="F127" s="553"/>
      <c r="G127" s="554"/>
      <c r="H127" s="459"/>
    </row>
    <row r="128" spans="2:8" ht="13.5">
      <c r="B128" s="569"/>
      <c r="C128" s="550"/>
      <c r="D128" s="551"/>
      <c r="E128" s="552"/>
      <c r="F128" s="553"/>
      <c r="G128" s="554"/>
      <c r="H128" s="459"/>
    </row>
    <row r="129" spans="2:8" ht="13.5">
      <c r="B129" s="569"/>
      <c r="C129" s="550"/>
      <c r="D129" s="551"/>
      <c r="E129" s="552"/>
      <c r="F129" s="553"/>
      <c r="G129" s="554"/>
      <c r="H129" s="459"/>
    </row>
    <row r="130" spans="2:8" ht="13.5">
      <c r="B130" s="569"/>
      <c r="C130" s="550"/>
      <c r="D130" s="551"/>
      <c r="E130" s="552"/>
      <c r="F130" s="553"/>
      <c r="G130" s="554"/>
      <c r="H130" s="459"/>
    </row>
    <row r="131" spans="2:8" ht="13.5">
      <c r="B131" s="569"/>
      <c r="C131" s="550"/>
      <c r="D131" s="551"/>
      <c r="E131" s="552"/>
      <c r="F131" s="553"/>
      <c r="G131" s="554"/>
      <c r="H131" s="459"/>
    </row>
    <row r="132" spans="2:8" ht="13.5">
      <c r="B132" s="569"/>
      <c r="C132" s="550"/>
      <c r="D132" s="551"/>
      <c r="E132" s="552"/>
      <c r="F132" s="553"/>
      <c r="G132" s="554"/>
      <c r="H132" s="459"/>
    </row>
    <row r="133" spans="2:8" ht="13.5">
      <c r="B133" s="569"/>
      <c r="C133" s="550"/>
      <c r="D133" s="551"/>
      <c r="E133" s="552"/>
      <c r="F133" s="553"/>
      <c r="G133" s="554"/>
      <c r="H133" s="459"/>
    </row>
    <row r="134" spans="2:8" ht="13.5">
      <c r="B134" s="569"/>
      <c r="C134" s="550"/>
      <c r="D134" s="551"/>
      <c r="E134" s="552"/>
      <c r="F134" s="553"/>
      <c r="G134" s="554"/>
      <c r="H134" s="459"/>
    </row>
    <row r="135" spans="2:8" ht="13.5">
      <c r="B135" s="569"/>
      <c r="C135" s="550"/>
      <c r="D135" s="551"/>
      <c r="E135" s="552"/>
      <c r="F135" s="553"/>
      <c r="G135" s="554"/>
      <c r="H135" s="459"/>
    </row>
    <row r="136" spans="2:8" ht="13.5">
      <c r="B136" s="569"/>
      <c r="C136" s="550"/>
      <c r="D136" s="551"/>
      <c r="E136" s="552"/>
      <c r="F136" s="553"/>
      <c r="G136" s="554"/>
      <c r="H136" s="459"/>
    </row>
    <row r="137" spans="2:8" ht="13.5">
      <c r="B137" s="569"/>
      <c r="C137" s="550"/>
      <c r="D137" s="551"/>
      <c r="E137" s="552"/>
      <c r="F137" s="553"/>
      <c r="G137" s="554"/>
      <c r="H137" s="459"/>
    </row>
    <row r="138" spans="2:8" ht="13.5">
      <c r="B138" s="569"/>
      <c r="C138" s="550"/>
      <c r="D138" s="551"/>
      <c r="E138" s="552"/>
      <c r="F138" s="553"/>
      <c r="G138" s="554"/>
      <c r="H138" s="459"/>
    </row>
    <row r="139" spans="2:8" ht="13.5">
      <c r="B139" s="569"/>
      <c r="C139" s="550"/>
      <c r="D139" s="551"/>
      <c r="E139" s="552"/>
      <c r="F139" s="553"/>
      <c r="G139" s="554"/>
      <c r="H139" s="459"/>
    </row>
    <row r="140" spans="2:8" ht="13.5">
      <c r="B140" s="569"/>
      <c r="C140" s="550"/>
      <c r="D140" s="551"/>
      <c r="E140" s="552"/>
      <c r="F140" s="553"/>
      <c r="G140" s="554"/>
      <c r="H140" s="459"/>
    </row>
    <row r="141" spans="2:8" ht="13.5">
      <c r="B141" s="569"/>
      <c r="C141" s="550"/>
      <c r="D141" s="551"/>
      <c r="E141" s="552"/>
      <c r="F141" s="553"/>
      <c r="G141" s="554"/>
      <c r="H141" s="459"/>
    </row>
    <row r="142" spans="2:8" ht="13.5">
      <c r="B142" s="569"/>
      <c r="C142" s="550"/>
      <c r="D142" s="551"/>
      <c r="E142" s="552"/>
      <c r="F142" s="553"/>
      <c r="G142" s="554"/>
      <c r="H142" s="459"/>
    </row>
    <row r="143" spans="2:8" ht="13.5">
      <c r="B143" s="569"/>
      <c r="C143" s="550"/>
      <c r="D143" s="551"/>
      <c r="E143" s="552"/>
      <c r="F143" s="553"/>
      <c r="G143" s="554"/>
      <c r="H143" s="459"/>
    </row>
    <row r="144" spans="2:8" ht="13.5">
      <c r="B144" s="569"/>
      <c r="C144" s="550"/>
      <c r="D144" s="551"/>
      <c r="E144" s="552"/>
      <c r="F144" s="553"/>
      <c r="G144" s="554"/>
      <c r="H144" s="459"/>
    </row>
    <row r="145" spans="2:8" ht="13.5">
      <c r="B145" s="569"/>
      <c r="C145" s="550"/>
      <c r="D145" s="551"/>
      <c r="E145" s="552"/>
      <c r="F145" s="553"/>
      <c r="G145" s="554"/>
      <c r="H145" s="459"/>
    </row>
    <row r="146" spans="2:8" ht="13.5">
      <c r="B146" s="569"/>
      <c r="C146" s="550"/>
      <c r="D146" s="551"/>
      <c r="E146" s="552"/>
      <c r="F146" s="553"/>
      <c r="G146" s="554"/>
      <c r="H146" s="459"/>
    </row>
    <row r="147" spans="2:8" ht="13.5">
      <c r="B147" s="569"/>
      <c r="C147" s="550"/>
      <c r="D147" s="551"/>
      <c r="E147" s="552"/>
      <c r="F147" s="553"/>
      <c r="G147" s="554"/>
      <c r="H147" s="459"/>
    </row>
    <row r="148" spans="2:8" ht="13.5">
      <c r="B148" s="569"/>
      <c r="C148" s="550"/>
      <c r="D148" s="551"/>
      <c r="E148" s="552"/>
      <c r="F148" s="553"/>
      <c r="G148" s="554"/>
      <c r="H148" s="459"/>
    </row>
    <row r="149" spans="2:8" ht="13.5">
      <c r="B149" s="569"/>
      <c r="C149" s="550"/>
      <c r="D149" s="551"/>
      <c r="E149" s="552"/>
      <c r="F149" s="553"/>
      <c r="G149" s="554"/>
      <c r="H149" s="459"/>
    </row>
    <row r="150" spans="2:8" ht="13.5">
      <c r="B150" s="569"/>
      <c r="C150" s="550"/>
      <c r="D150" s="551"/>
      <c r="E150" s="552"/>
      <c r="F150" s="553"/>
      <c r="G150" s="554"/>
      <c r="H150" s="459"/>
    </row>
    <row r="151" spans="2:8" ht="13.5">
      <c r="B151" s="569"/>
      <c r="C151" s="550"/>
      <c r="D151" s="551"/>
      <c r="E151" s="552"/>
      <c r="F151" s="553"/>
      <c r="G151" s="554"/>
      <c r="H151" s="459"/>
    </row>
    <row r="152" spans="2:8" ht="13.5">
      <c r="B152" s="569"/>
      <c r="C152" s="550"/>
      <c r="D152" s="551"/>
      <c r="E152" s="552"/>
      <c r="F152" s="553"/>
      <c r="G152" s="554"/>
      <c r="H152" s="459"/>
    </row>
    <row r="153" spans="2:8" ht="13.5">
      <c r="B153" s="569"/>
      <c r="C153" s="550"/>
      <c r="D153" s="551"/>
      <c r="E153" s="552"/>
      <c r="F153" s="553"/>
      <c r="G153" s="554"/>
      <c r="H153" s="459"/>
    </row>
    <row r="154" spans="2:8" ht="13.5">
      <c r="B154" s="569"/>
      <c r="C154" s="550"/>
      <c r="D154" s="551"/>
      <c r="E154" s="552"/>
      <c r="F154" s="553"/>
      <c r="G154" s="554"/>
      <c r="H154" s="459"/>
    </row>
    <row r="155" spans="2:8" ht="13.5">
      <c r="B155" s="569"/>
      <c r="C155" s="550"/>
      <c r="D155" s="551"/>
      <c r="E155" s="552"/>
      <c r="F155" s="553"/>
      <c r="G155" s="554"/>
      <c r="H155" s="459"/>
    </row>
    <row r="156" spans="2:8" ht="13.5">
      <c r="B156" s="569"/>
      <c r="C156" s="550"/>
      <c r="D156" s="551"/>
      <c r="E156" s="552"/>
      <c r="F156" s="553"/>
      <c r="G156" s="554"/>
      <c r="H156" s="459"/>
    </row>
    <row r="157" spans="2:8" ht="13.5">
      <c r="B157" s="569"/>
      <c r="C157" s="550"/>
      <c r="D157" s="551"/>
      <c r="E157" s="552"/>
      <c r="F157" s="553"/>
      <c r="G157" s="554"/>
      <c r="H157" s="459"/>
    </row>
    <row r="158" spans="2:8" ht="13.5">
      <c r="B158" s="569"/>
      <c r="C158" s="550"/>
      <c r="D158" s="551"/>
      <c r="E158" s="552"/>
      <c r="F158" s="553"/>
      <c r="G158" s="554"/>
      <c r="H158" s="459"/>
    </row>
    <row r="159" spans="2:8" ht="13.5">
      <c r="B159" s="569"/>
      <c r="C159" s="550"/>
      <c r="D159" s="551"/>
      <c r="E159" s="552"/>
      <c r="F159" s="553"/>
      <c r="G159" s="554"/>
      <c r="H159" s="459"/>
    </row>
    <row r="160" spans="2:8" ht="13.5">
      <c r="B160" s="569"/>
      <c r="C160" s="550"/>
      <c r="D160" s="551"/>
      <c r="E160" s="552"/>
      <c r="F160" s="553"/>
      <c r="G160" s="554"/>
      <c r="H160" s="459"/>
    </row>
    <row r="161" spans="2:8" ht="13.5">
      <c r="B161" s="569"/>
      <c r="C161" s="550"/>
      <c r="D161" s="551"/>
      <c r="E161" s="552"/>
      <c r="F161" s="553"/>
      <c r="G161" s="554"/>
      <c r="H161" s="459"/>
    </row>
    <row r="162" spans="2:8" ht="13.5">
      <c r="B162" s="569"/>
      <c r="C162" s="550"/>
      <c r="D162" s="551"/>
      <c r="E162" s="552"/>
      <c r="F162" s="553"/>
      <c r="G162" s="554"/>
      <c r="H162" s="459"/>
    </row>
    <row r="163" spans="2:8" ht="13.5">
      <c r="B163" s="569"/>
      <c r="C163" s="550"/>
      <c r="D163" s="551"/>
      <c r="E163" s="552"/>
      <c r="F163" s="553"/>
      <c r="G163" s="554"/>
      <c r="H163" s="459"/>
    </row>
    <row r="164" spans="2:8" ht="13.5">
      <c r="B164" s="569"/>
      <c r="C164" s="550"/>
      <c r="D164" s="551"/>
      <c r="E164" s="552"/>
      <c r="F164" s="553"/>
      <c r="G164" s="554"/>
      <c r="H164" s="459"/>
    </row>
    <row r="165" spans="2:8" ht="13.5">
      <c r="B165" s="569"/>
      <c r="C165" s="550"/>
      <c r="D165" s="551"/>
      <c r="E165" s="552"/>
      <c r="F165" s="553"/>
      <c r="G165" s="554"/>
      <c r="H165" s="459"/>
    </row>
    <row r="166" spans="2:8" ht="13.5">
      <c r="B166" s="569"/>
      <c r="C166" s="550"/>
      <c r="D166" s="551"/>
      <c r="E166" s="552"/>
      <c r="F166" s="553"/>
      <c r="G166" s="554"/>
      <c r="H166" s="459"/>
    </row>
    <row r="167" spans="2:8" ht="13.5">
      <c r="B167" s="569"/>
      <c r="C167" s="550"/>
      <c r="D167" s="551"/>
      <c r="E167" s="552"/>
      <c r="F167" s="553"/>
      <c r="G167" s="554"/>
      <c r="H167" s="459"/>
    </row>
    <row r="168" spans="2:8" ht="13.5">
      <c r="B168" s="569"/>
      <c r="C168" s="550"/>
      <c r="D168" s="551"/>
      <c r="E168" s="552"/>
      <c r="F168" s="553"/>
      <c r="G168" s="554"/>
      <c r="H168" s="459"/>
    </row>
    <row r="169" spans="2:8" ht="13.5">
      <c r="B169" s="569"/>
      <c r="C169" s="550"/>
      <c r="D169" s="551"/>
      <c r="E169" s="552"/>
      <c r="F169" s="553"/>
      <c r="G169" s="554"/>
      <c r="H169" s="459"/>
    </row>
    <row r="170" spans="2:8" ht="13.5">
      <c r="B170" s="569"/>
      <c r="C170" s="550"/>
      <c r="D170" s="551"/>
      <c r="E170" s="552"/>
      <c r="F170" s="553"/>
      <c r="G170" s="554"/>
      <c r="H170" s="459"/>
    </row>
    <row r="171" spans="2:8" ht="13.5">
      <c r="B171" s="569"/>
      <c r="C171" s="550"/>
      <c r="D171" s="551"/>
      <c r="E171" s="552"/>
      <c r="F171" s="553"/>
      <c r="G171" s="554"/>
      <c r="H171" s="459"/>
    </row>
    <row r="172" spans="2:8" ht="13.5">
      <c r="B172" s="569"/>
      <c r="C172" s="550"/>
      <c r="D172" s="551"/>
      <c r="E172" s="552"/>
      <c r="F172" s="553"/>
      <c r="G172" s="554"/>
      <c r="H172" s="459"/>
    </row>
    <row r="173" spans="2:8" ht="13.5">
      <c r="B173" s="569"/>
      <c r="C173" s="550"/>
      <c r="D173" s="551"/>
      <c r="E173" s="552"/>
      <c r="F173" s="553"/>
      <c r="G173" s="554"/>
      <c r="H173" s="459"/>
    </row>
    <row r="174" spans="2:8" ht="13.5">
      <c r="B174" s="569"/>
      <c r="C174" s="550"/>
      <c r="D174" s="551"/>
      <c r="E174" s="552"/>
      <c r="F174" s="553"/>
      <c r="G174" s="554"/>
      <c r="H174" s="459"/>
    </row>
    <row r="175" spans="2:8" ht="13.5">
      <c r="B175" s="569"/>
      <c r="C175" s="550"/>
      <c r="D175" s="551"/>
      <c r="E175" s="552"/>
      <c r="F175" s="553"/>
      <c r="G175" s="554"/>
      <c r="H175" s="459"/>
    </row>
    <row r="176" spans="2:8" ht="13.5">
      <c r="B176" s="569"/>
      <c r="C176" s="550"/>
      <c r="D176" s="551"/>
      <c r="E176" s="552"/>
      <c r="F176" s="553"/>
      <c r="G176" s="554"/>
      <c r="H176" s="459"/>
    </row>
    <row r="177" spans="2:8" ht="13.5">
      <c r="B177" s="569"/>
      <c r="C177" s="550"/>
      <c r="D177" s="551"/>
      <c r="E177" s="552"/>
      <c r="F177" s="553"/>
      <c r="G177" s="554"/>
      <c r="H177" s="459"/>
    </row>
    <row r="178" spans="2:8" ht="13.5">
      <c r="B178" s="569"/>
      <c r="C178" s="550"/>
      <c r="D178" s="551"/>
      <c r="E178" s="552"/>
      <c r="F178" s="553"/>
      <c r="G178" s="554"/>
      <c r="H178" s="459"/>
    </row>
  </sheetData>
  <mergeCells count="10">
    <mergeCell ref="A53:A54"/>
    <mergeCell ref="B53:B54"/>
    <mergeCell ref="D53:E53"/>
    <mergeCell ref="D54:D55"/>
    <mergeCell ref="E54:E55"/>
    <mergeCell ref="A3:A4"/>
    <mergeCell ref="B3:B4"/>
    <mergeCell ref="D3:E3"/>
    <mergeCell ref="D4:D5"/>
    <mergeCell ref="E4:E5"/>
  </mergeCells>
  <printOptions/>
  <pageMargins left="0.75" right="0.75" top="1" bottom="1" header="0.512" footer="0.512"/>
  <pageSetup horizontalDpi="600" verticalDpi="6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H127"/>
  <sheetViews>
    <sheetView zoomScale="75" zoomScaleNormal="75" workbookViewId="0" topLeftCell="A1">
      <selection activeCell="J23" sqref="J23"/>
    </sheetView>
  </sheetViews>
  <sheetFormatPr defaultColWidth="9.00390625" defaultRowHeight="13.5"/>
  <cols>
    <col min="1" max="1" width="14.875" style="549" customWidth="1"/>
    <col min="2" max="2" width="14.875" style="510" customWidth="1"/>
    <col min="3" max="3" width="12.00390625" style="511" customWidth="1"/>
    <col min="4" max="4" width="8.75390625" style="512" customWidth="1"/>
    <col min="5" max="5" width="5.50390625" style="513" customWidth="1"/>
    <col min="6" max="6" width="8.75390625" style="514" customWidth="1"/>
    <col min="7" max="7" width="11.50390625" style="515" customWidth="1"/>
    <col min="8" max="8" width="11.875" style="516" customWidth="1"/>
  </cols>
  <sheetData>
    <row r="1" spans="1:8" s="557" customFormat="1" ht="15.75" customHeight="1">
      <c r="A1" s="517"/>
      <c r="B1" s="518"/>
      <c r="C1" s="519" t="s">
        <v>577</v>
      </c>
      <c r="D1" s="520"/>
      <c r="E1" s="521"/>
      <c r="F1" s="522" t="s">
        <v>578</v>
      </c>
      <c r="G1" s="523" t="s">
        <v>579</v>
      </c>
      <c r="H1" s="524" t="s">
        <v>580</v>
      </c>
    </row>
    <row r="2" spans="1:8" s="557" customFormat="1" ht="15.75" customHeight="1">
      <c r="A2" s="661" t="s">
        <v>476</v>
      </c>
      <c r="B2" s="662" t="s">
        <v>71</v>
      </c>
      <c r="C2" s="526" t="s">
        <v>477</v>
      </c>
      <c r="D2" s="663" t="s">
        <v>478</v>
      </c>
      <c r="E2" s="664"/>
      <c r="F2" s="527" t="s">
        <v>479</v>
      </c>
      <c r="G2" s="528" t="s">
        <v>479</v>
      </c>
      <c r="H2" s="529" t="s">
        <v>480</v>
      </c>
    </row>
    <row r="3" spans="1:8" s="557" customFormat="1" ht="15.75" customHeight="1">
      <c r="A3" s="661"/>
      <c r="B3" s="662"/>
      <c r="C3" s="526" t="s">
        <v>481</v>
      </c>
      <c r="D3" s="665" t="s">
        <v>482</v>
      </c>
      <c r="E3" s="667" t="s">
        <v>483</v>
      </c>
      <c r="F3" s="527" t="s">
        <v>484</v>
      </c>
      <c r="G3" s="528" t="s">
        <v>484</v>
      </c>
      <c r="H3" s="529" t="s">
        <v>485</v>
      </c>
    </row>
    <row r="4" spans="1:8" s="557" customFormat="1" ht="15.75" customHeight="1" thickBot="1">
      <c r="A4" s="530"/>
      <c r="B4" s="531"/>
      <c r="C4" s="532" t="s">
        <v>486</v>
      </c>
      <c r="D4" s="666"/>
      <c r="E4" s="668"/>
      <c r="F4" s="533" t="s">
        <v>487</v>
      </c>
      <c r="G4" s="534" t="s">
        <v>488</v>
      </c>
      <c r="H4" s="535" t="s">
        <v>489</v>
      </c>
    </row>
    <row r="5" spans="1:8" s="557" customFormat="1" ht="15.75" customHeight="1">
      <c r="A5" s="549"/>
      <c r="B5" s="536" t="s">
        <v>108</v>
      </c>
      <c r="C5" s="537" t="s">
        <v>60</v>
      </c>
      <c r="D5" s="538" t="s">
        <v>108</v>
      </c>
      <c r="E5" s="539"/>
      <c r="F5" s="522"/>
      <c r="G5" s="540" t="s">
        <v>60</v>
      </c>
      <c r="H5" s="541" t="s">
        <v>60</v>
      </c>
    </row>
    <row r="6" spans="1:8" s="557" customFormat="1" ht="15.75" customHeight="1">
      <c r="A6" s="561" t="s">
        <v>535</v>
      </c>
      <c r="B6" s="562">
        <f>SUM(B7:B8)</f>
        <v>979717</v>
      </c>
      <c r="C6" s="563">
        <f>SUM(C7:C8)</f>
        <v>18249</v>
      </c>
      <c r="D6" s="545">
        <f>B6/C6</f>
        <v>53.68606498986246</v>
      </c>
      <c r="E6" s="564"/>
      <c r="F6" s="547">
        <f>D6/101.057</f>
        <v>0.531245386166841</v>
      </c>
      <c r="G6" s="548">
        <f>F6*C6</f>
        <v>9694.697052158683</v>
      </c>
      <c r="H6" s="458">
        <f>G6-C6</f>
        <v>-8554.302947841317</v>
      </c>
    </row>
    <row r="7" spans="1:8" s="557" customFormat="1" ht="15.75" customHeight="1">
      <c r="A7" s="555" t="s">
        <v>536</v>
      </c>
      <c r="B7" s="556">
        <v>425142</v>
      </c>
      <c r="C7" s="550">
        <v>10361</v>
      </c>
      <c r="D7" s="551">
        <f>B7/C7</f>
        <v>41.03291188109256</v>
      </c>
      <c r="E7" s="552">
        <v>53</v>
      </c>
      <c r="F7" s="553">
        <f>D7/101.057</f>
        <v>0.4060373045023359</v>
      </c>
      <c r="G7" s="554">
        <f>F7*C7</f>
        <v>4206.9525119487025</v>
      </c>
      <c r="H7" s="459">
        <f>G7-C7</f>
        <v>-6154.0474880512975</v>
      </c>
    </row>
    <row r="8" spans="1:8" s="557" customFormat="1" ht="15.75" customHeight="1">
      <c r="A8" s="555" t="s">
        <v>537</v>
      </c>
      <c r="B8" s="556">
        <v>554575</v>
      </c>
      <c r="C8" s="550">
        <v>7888</v>
      </c>
      <c r="D8" s="551">
        <f>B8/C8</f>
        <v>70.30616125760649</v>
      </c>
      <c r="E8" s="552">
        <v>27</v>
      </c>
      <c r="F8" s="553">
        <f>D8/101.057</f>
        <v>0.6957079792355452</v>
      </c>
      <c r="G8" s="554">
        <f>F8*C8</f>
        <v>5487.74454020998</v>
      </c>
      <c r="H8" s="459">
        <f>G8-C8</f>
        <v>-2400.25545979002</v>
      </c>
    </row>
    <row r="9" spans="2:8" ht="13.5">
      <c r="B9" s="565"/>
      <c r="C9" s="550"/>
      <c r="D9" s="551"/>
      <c r="E9" s="552"/>
      <c r="F9" s="553"/>
      <c r="G9" s="554"/>
      <c r="H9" s="459"/>
    </row>
    <row r="10" spans="1:8" s="134" customFormat="1" ht="14.25">
      <c r="A10" s="566" t="s">
        <v>538</v>
      </c>
      <c r="B10" s="567">
        <f>SUM(B11:B20)</f>
        <v>4125172</v>
      </c>
      <c r="C10" s="568">
        <f>SUM(C11:C20)</f>
        <v>74643</v>
      </c>
      <c r="D10" s="545">
        <f aca="true" t="shared" si="0" ref="D10:D20">B10/C10</f>
        <v>55.26535642993985</v>
      </c>
      <c r="E10" s="564"/>
      <c r="F10" s="547">
        <f aca="true" t="shared" si="1" ref="F10:F20">D10/101.057</f>
        <v>0.5468731154688923</v>
      </c>
      <c r="G10" s="548">
        <f aca="true" t="shared" si="2" ref="G10:G20">F10*C10</f>
        <v>40820.24995794453</v>
      </c>
      <c r="H10" s="458">
        <f aca="true" t="shared" si="3" ref="H10:H20">G10-C10</f>
        <v>-33822.75004205547</v>
      </c>
    </row>
    <row r="11" spans="1:8" s="557" customFormat="1" ht="15.75" customHeight="1">
      <c r="A11" s="555" t="s">
        <v>539</v>
      </c>
      <c r="B11" s="556">
        <v>1000842</v>
      </c>
      <c r="C11" s="550">
        <v>11710</v>
      </c>
      <c r="D11" s="551">
        <f t="shared" si="0"/>
        <v>85.46900085397097</v>
      </c>
      <c r="E11" s="552">
        <v>19</v>
      </c>
      <c r="F11" s="553">
        <f t="shared" si="1"/>
        <v>0.8457504265312741</v>
      </c>
      <c r="G11" s="554">
        <f t="shared" si="2"/>
        <v>9903.73749468122</v>
      </c>
      <c r="H11" s="459">
        <f t="shared" si="3"/>
        <v>-1806.2625053187803</v>
      </c>
    </row>
    <row r="12" spans="1:8" s="557" customFormat="1" ht="15.75" customHeight="1">
      <c r="A12" s="555" t="s">
        <v>540</v>
      </c>
      <c r="B12" s="556">
        <v>247231</v>
      </c>
      <c r="C12" s="550">
        <v>5008</v>
      </c>
      <c r="D12" s="551">
        <f t="shared" si="0"/>
        <v>49.3672124600639</v>
      </c>
      <c r="E12" s="552">
        <v>44</v>
      </c>
      <c r="F12" s="553">
        <f t="shared" si="1"/>
        <v>0.4885085888168449</v>
      </c>
      <c r="G12" s="554">
        <f t="shared" si="2"/>
        <v>2446.451012794759</v>
      </c>
      <c r="H12" s="459">
        <f t="shared" si="3"/>
        <v>-2561.548987205241</v>
      </c>
    </row>
    <row r="13" spans="1:8" s="557" customFormat="1" ht="15.75" customHeight="1">
      <c r="A13" s="555" t="s">
        <v>541</v>
      </c>
      <c r="B13" s="556">
        <v>825780</v>
      </c>
      <c r="C13" s="550">
        <v>12828</v>
      </c>
      <c r="D13" s="551">
        <f t="shared" si="0"/>
        <v>64.3732460243218</v>
      </c>
      <c r="E13" s="552">
        <v>33</v>
      </c>
      <c r="F13" s="553">
        <f t="shared" si="1"/>
        <v>0.6369993768301236</v>
      </c>
      <c r="G13" s="554">
        <f t="shared" si="2"/>
        <v>8171.428005976826</v>
      </c>
      <c r="H13" s="459">
        <f t="shared" si="3"/>
        <v>-4656.571994023174</v>
      </c>
    </row>
    <row r="14" spans="1:8" s="557" customFormat="1" ht="15.75" customHeight="1">
      <c r="A14" s="555" t="s">
        <v>542</v>
      </c>
      <c r="B14" s="556">
        <v>429794</v>
      </c>
      <c r="C14" s="550">
        <v>5878</v>
      </c>
      <c r="D14" s="551">
        <f t="shared" si="0"/>
        <v>73.11908812521266</v>
      </c>
      <c r="E14" s="552">
        <v>26</v>
      </c>
      <c r="F14" s="553">
        <f t="shared" si="1"/>
        <v>0.7235430314101216</v>
      </c>
      <c r="G14" s="554">
        <f t="shared" si="2"/>
        <v>4252.985938628694</v>
      </c>
      <c r="H14" s="459">
        <f t="shared" si="3"/>
        <v>-1625.0140613713056</v>
      </c>
    </row>
    <row r="15" spans="1:8" s="560" customFormat="1" ht="15.75" customHeight="1">
      <c r="A15" s="558" t="s">
        <v>543</v>
      </c>
      <c r="B15" s="556">
        <v>180883</v>
      </c>
      <c r="C15" s="559">
        <v>6417</v>
      </c>
      <c r="D15" s="551">
        <f t="shared" si="0"/>
        <v>28.18809412498052</v>
      </c>
      <c r="E15" s="552">
        <v>65</v>
      </c>
      <c r="F15" s="553">
        <f t="shared" si="1"/>
        <v>0.2789326234202531</v>
      </c>
      <c r="G15" s="554">
        <f t="shared" si="2"/>
        <v>1789.910644487764</v>
      </c>
      <c r="H15" s="459">
        <f t="shared" si="3"/>
        <v>-4627.089355512236</v>
      </c>
    </row>
    <row r="16" spans="1:8" s="557" customFormat="1" ht="15.75" customHeight="1">
      <c r="A16" s="555" t="s">
        <v>544</v>
      </c>
      <c r="B16" s="556">
        <v>271182</v>
      </c>
      <c r="C16" s="550">
        <v>5882</v>
      </c>
      <c r="D16" s="551">
        <f t="shared" si="0"/>
        <v>46.10370622237334</v>
      </c>
      <c r="E16" s="552">
        <v>47</v>
      </c>
      <c r="F16" s="553">
        <f t="shared" si="1"/>
        <v>0.45621487103687364</v>
      </c>
      <c r="G16" s="554">
        <f t="shared" si="2"/>
        <v>2683.455871438891</v>
      </c>
      <c r="H16" s="459">
        <f t="shared" si="3"/>
        <v>-3198.544128561109</v>
      </c>
    </row>
    <row r="17" spans="1:8" s="557" customFormat="1" ht="15.75" customHeight="1">
      <c r="A17" s="555" t="s">
        <v>545</v>
      </c>
      <c r="B17" s="556">
        <v>317177</v>
      </c>
      <c r="C17" s="550">
        <v>6674</v>
      </c>
      <c r="D17" s="551">
        <f t="shared" si="0"/>
        <v>47.52427329937069</v>
      </c>
      <c r="E17" s="552">
        <v>46</v>
      </c>
      <c r="F17" s="553">
        <f t="shared" si="1"/>
        <v>0.47027195839348773</v>
      </c>
      <c r="G17" s="554">
        <f t="shared" si="2"/>
        <v>3138.595050318137</v>
      </c>
      <c r="H17" s="459">
        <f t="shared" si="3"/>
        <v>-3535.404949681863</v>
      </c>
    </row>
    <row r="18" spans="1:8" s="557" customFormat="1" ht="15.75" customHeight="1">
      <c r="A18" s="555" t="s">
        <v>546</v>
      </c>
      <c r="B18" s="556">
        <v>243499</v>
      </c>
      <c r="C18" s="550">
        <v>6352</v>
      </c>
      <c r="D18" s="551">
        <f t="shared" si="0"/>
        <v>38.334225440806044</v>
      </c>
      <c r="E18" s="552">
        <v>58</v>
      </c>
      <c r="F18" s="553">
        <f t="shared" si="1"/>
        <v>0.37933270768780036</v>
      </c>
      <c r="G18" s="554">
        <f t="shared" si="2"/>
        <v>2409.521359232908</v>
      </c>
      <c r="H18" s="459">
        <f t="shared" si="3"/>
        <v>-3942.478640767092</v>
      </c>
    </row>
    <row r="19" spans="1:8" s="557" customFormat="1" ht="15.75" customHeight="1">
      <c r="A19" s="555" t="s">
        <v>547</v>
      </c>
      <c r="B19" s="556">
        <v>230921</v>
      </c>
      <c r="C19" s="550">
        <v>4530</v>
      </c>
      <c r="D19" s="551">
        <f t="shared" si="0"/>
        <v>50.97593818984547</v>
      </c>
      <c r="E19" s="552">
        <v>42</v>
      </c>
      <c r="F19" s="553">
        <f t="shared" si="1"/>
        <v>0.5044275823529837</v>
      </c>
      <c r="G19" s="554">
        <f t="shared" si="2"/>
        <v>2285.056948059016</v>
      </c>
      <c r="H19" s="459">
        <f t="shared" si="3"/>
        <v>-2244.943051940984</v>
      </c>
    </row>
    <row r="20" spans="1:8" s="560" customFormat="1" ht="15.75" customHeight="1">
      <c r="A20" s="558" t="s">
        <v>548</v>
      </c>
      <c r="B20" s="556">
        <v>377863</v>
      </c>
      <c r="C20" s="559">
        <v>9364</v>
      </c>
      <c r="D20" s="551">
        <f t="shared" si="0"/>
        <v>40.35273387441264</v>
      </c>
      <c r="E20" s="552">
        <v>55</v>
      </c>
      <c r="F20" s="553">
        <f t="shared" si="1"/>
        <v>0.39930666727107117</v>
      </c>
      <c r="G20" s="554">
        <f t="shared" si="2"/>
        <v>3739.1076323263105</v>
      </c>
      <c r="H20" s="459">
        <f t="shared" si="3"/>
        <v>-5624.8923676736895</v>
      </c>
    </row>
    <row r="21" spans="2:8" ht="13.5">
      <c r="B21" s="565"/>
      <c r="C21" s="550"/>
      <c r="D21" s="551"/>
      <c r="E21" s="552"/>
      <c r="F21" s="553"/>
      <c r="G21" s="554"/>
      <c r="H21" s="459"/>
    </row>
    <row r="22" spans="1:8" s="134" customFormat="1" ht="14.25">
      <c r="A22" s="566" t="s">
        <v>549</v>
      </c>
      <c r="B22" s="567">
        <f>SUM(B23:B35)</f>
        <v>8135707</v>
      </c>
      <c r="C22" s="568">
        <f>SUM(C23:C35)</f>
        <v>112205</v>
      </c>
      <c r="D22" s="545">
        <f aca="true" t="shared" si="4" ref="D22:D35">B22/C22</f>
        <v>72.50752640256673</v>
      </c>
      <c r="E22" s="564"/>
      <c r="F22" s="547">
        <f aca="true" t="shared" si="5" ref="F22:F35">D22/101.057</f>
        <v>0.7174913801376127</v>
      </c>
      <c r="G22" s="548">
        <f aca="true" t="shared" si="6" ref="G22:G35">F22*C22</f>
        <v>80506.12030834083</v>
      </c>
      <c r="H22" s="458">
        <f aca="true" t="shared" si="7" ref="H22:H35">G22-C22</f>
        <v>-31698.879691659167</v>
      </c>
    </row>
    <row r="23" spans="1:8" s="557" customFormat="1" ht="15.75" customHeight="1">
      <c r="A23" s="555" t="s">
        <v>550</v>
      </c>
      <c r="B23" s="556">
        <v>404705</v>
      </c>
      <c r="C23" s="550">
        <v>5936</v>
      </c>
      <c r="D23" s="551">
        <f t="shared" si="4"/>
        <v>68.17806603773585</v>
      </c>
      <c r="E23" s="552">
        <v>30</v>
      </c>
      <c r="F23" s="553">
        <f t="shared" si="5"/>
        <v>0.6746496139578242</v>
      </c>
      <c r="G23" s="554">
        <f t="shared" si="6"/>
        <v>4004.7201084536446</v>
      </c>
      <c r="H23" s="459">
        <f t="shared" si="7"/>
        <v>-1931.2798915463554</v>
      </c>
    </row>
    <row r="24" spans="1:8" s="557" customFormat="1" ht="15.75" customHeight="1">
      <c r="A24" s="555" t="s">
        <v>551</v>
      </c>
      <c r="B24" s="556">
        <v>472704</v>
      </c>
      <c r="C24" s="550">
        <v>10320</v>
      </c>
      <c r="D24" s="551">
        <f t="shared" si="4"/>
        <v>45.8046511627907</v>
      </c>
      <c r="E24" s="552">
        <v>48</v>
      </c>
      <c r="F24" s="553">
        <f t="shared" si="5"/>
        <v>0.4532555999365773</v>
      </c>
      <c r="G24" s="554">
        <f t="shared" si="6"/>
        <v>4677.597791345478</v>
      </c>
      <c r="H24" s="459">
        <f t="shared" si="7"/>
        <v>-5642.402208654522</v>
      </c>
    </row>
    <row r="25" spans="1:8" s="557" customFormat="1" ht="15.75" customHeight="1">
      <c r="A25" s="555" t="s">
        <v>552</v>
      </c>
      <c r="B25" s="556">
        <v>1998955</v>
      </c>
      <c r="C25" s="550">
        <v>14130</v>
      </c>
      <c r="D25" s="551">
        <f t="shared" si="4"/>
        <v>141.46886058032555</v>
      </c>
      <c r="E25" s="552">
        <v>6</v>
      </c>
      <c r="F25" s="553">
        <f t="shared" si="5"/>
        <v>1.3998917500056953</v>
      </c>
      <c r="G25" s="554">
        <f t="shared" si="6"/>
        <v>19780.470427580476</v>
      </c>
      <c r="H25" s="459">
        <f t="shared" si="7"/>
        <v>5650.470427580476</v>
      </c>
    </row>
    <row r="26" spans="1:8" s="557" customFormat="1" ht="15.75" customHeight="1">
      <c r="A26" s="555" t="s">
        <v>553</v>
      </c>
      <c r="B26" s="556">
        <v>518920</v>
      </c>
      <c r="C26" s="550">
        <v>7052</v>
      </c>
      <c r="D26" s="551">
        <f t="shared" si="4"/>
        <v>73.58479863868406</v>
      </c>
      <c r="E26" s="552">
        <v>25</v>
      </c>
      <c r="F26" s="553">
        <f t="shared" si="5"/>
        <v>0.7281514258159658</v>
      </c>
      <c r="G26" s="554">
        <f t="shared" si="6"/>
        <v>5134.923854854191</v>
      </c>
      <c r="H26" s="459">
        <f t="shared" si="7"/>
        <v>-1917.0761451458093</v>
      </c>
    </row>
    <row r="27" spans="1:8" s="560" customFormat="1" ht="15.75" customHeight="1">
      <c r="A27" s="558" t="s">
        <v>554</v>
      </c>
      <c r="B27" s="556">
        <v>1307893</v>
      </c>
      <c r="C27" s="559">
        <v>11474</v>
      </c>
      <c r="D27" s="551">
        <f t="shared" si="4"/>
        <v>113.98753704026495</v>
      </c>
      <c r="E27" s="552">
        <v>12</v>
      </c>
      <c r="F27" s="553">
        <f t="shared" si="5"/>
        <v>1.1279529081633628</v>
      </c>
      <c r="G27" s="554">
        <f t="shared" si="6"/>
        <v>12942.131668266426</v>
      </c>
      <c r="H27" s="459">
        <f t="shared" si="7"/>
        <v>1468.1316682664255</v>
      </c>
    </row>
    <row r="28" spans="1:8" s="557" customFormat="1" ht="15.75" customHeight="1">
      <c r="A28" s="555" t="s">
        <v>555</v>
      </c>
      <c r="B28" s="556">
        <v>1079209</v>
      </c>
      <c r="C28" s="550">
        <v>12457</v>
      </c>
      <c r="D28" s="551">
        <f t="shared" si="4"/>
        <v>86.6347435177009</v>
      </c>
      <c r="E28" s="552">
        <v>18</v>
      </c>
      <c r="F28" s="553">
        <f t="shared" si="5"/>
        <v>0.8572859229712033</v>
      </c>
      <c r="G28" s="554">
        <f t="shared" si="6"/>
        <v>10679.21074245228</v>
      </c>
      <c r="H28" s="459">
        <f t="shared" si="7"/>
        <v>-1777.78925754772</v>
      </c>
    </row>
    <row r="29" spans="1:8" s="557" customFormat="1" ht="15.75" customHeight="1">
      <c r="A29" s="555" t="s">
        <v>556</v>
      </c>
      <c r="B29" s="556">
        <v>375145</v>
      </c>
      <c r="C29" s="550">
        <v>8943</v>
      </c>
      <c r="D29" s="551">
        <f t="shared" si="4"/>
        <v>41.94845130269484</v>
      </c>
      <c r="E29" s="552">
        <v>50</v>
      </c>
      <c r="F29" s="553">
        <f t="shared" si="5"/>
        <v>0.4150969383881853</v>
      </c>
      <c r="G29" s="554">
        <f t="shared" si="6"/>
        <v>3712.211920005541</v>
      </c>
      <c r="H29" s="459">
        <f t="shared" si="7"/>
        <v>-5230.78807999446</v>
      </c>
    </row>
    <row r="30" spans="1:8" s="557" customFormat="1" ht="15.75" customHeight="1">
      <c r="A30" s="555" t="s">
        <v>557</v>
      </c>
      <c r="B30" s="556">
        <v>186980</v>
      </c>
      <c r="C30" s="550">
        <v>4531</v>
      </c>
      <c r="D30" s="551">
        <f t="shared" si="4"/>
        <v>41.266828514676675</v>
      </c>
      <c r="E30" s="552">
        <v>52</v>
      </c>
      <c r="F30" s="553">
        <f t="shared" si="5"/>
        <v>0.4083520044596285</v>
      </c>
      <c r="G30" s="554">
        <f t="shared" si="6"/>
        <v>1850.2429322065766</v>
      </c>
      <c r="H30" s="459">
        <f t="shared" si="7"/>
        <v>-2680.7570677934236</v>
      </c>
    </row>
    <row r="31" spans="1:8" s="557" customFormat="1" ht="15.75" customHeight="1">
      <c r="A31" s="555" t="s">
        <v>558</v>
      </c>
      <c r="B31" s="556">
        <v>276336</v>
      </c>
      <c r="C31" s="550">
        <v>7794</v>
      </c>
      <c r="D31" s="551">
        <f t="shared" si="4"/>
        <v>35.454965357967666</v>
      </c>
      <c r="E31" s="552">
        <v>59</v>
      </c>
      <c r="F31" s="553">
        <f t="shared" si="5"/>
        <v>0.35084126144619043</v>
      </c>
      <c r="G31" s="554">
        <f t="shared" si="6"/>
        <v>2734.4567917116083</v>
      </c>
      <c r="H31" s="459">
        <f t="shared" si="7"/>
        <v>-5059.543208288392</v>
      </c>
    </row>
    <row r="32" spans="1:8" s="560" customFormat="1" ht="15.75" customHeight="1">
      <c r="A32" s="558" t="s">
        <v>559</v>
      </c>
      <c r="B32" s="556">
        <v>198293</v>
      </c>
      <c r="C32" s="559">
        <v>5794</v>
      </c>
      <c r="D32" s="551">
        <f t="shared" si="4"/>
        <v>34.22385226095961</v>
      </c>
      <c r="E32" s="552">
        <v>60</v>
      </c>
      <c r="F32" s="553">
        <f t="shared" si="5"/>
        <v>0.33865889805713223</v>
      </c>
      <c r="G32" s="554">
        <f t="shared" si="6"/>
        <v>1962.1896553430242</v>
      </c>
      <c r="H32" s="459">
        <f t="shared" si="7"/>
        <v>-3831.8103446569758</v>
      </c>
    </row>
    <row r="33" spans="1:8" s="557" customFormat="1" ht="15.75" customHeight="1">
      <c r="A33" s="555" t="s">
        <v>560</v>
      </c>
      <c r="B33" s="556">
        <v>418250</v>
      </c>
      <c r="C33" s="550">
        <v>7482</v>
      </c>
      <c r="D33" s="551">
        <f t="shared" si="4"/>
        <v>55.900828655439724</v>
      </c>
      <c r="E33" s="552">
        <v>37</v>
      </c>
      <c r="F33" s="553">
        <f t="shared" si="5"/>
        <v>0.5531613708643609</v>
      </c>
      <c r="G33" s="554">
        <f t="shared" si="6"/>
        <v>4138.753376807148</v>
      </c>
      <c r="H33" s="459">
        <f t="shared" si="7"/>
        <v>-3343.246623192852</v>
      </c>
    </row>
    <row r="34" spans="1:8" s="557" customFormat="1" ht="15.75" customHeight="1">
      <c r="A34" s="555" t="s">
        <v>561</v>
      </c>
      <c r="B34" s="556">
        <v>281825</v>
      </c>
      <c r="C34" s="550">
        <v>8254</v>
      </c>
      <c r="D34" s="551">
        <f t="shared" si="4"/>
        <v>34.14405136903319</v>
      </c>
      <c r="E34" s="552">
        <v>61</v>
      </c>
      <c r="F34" s="553">
        <f t="shared" si="5"/>
        <v>0.33786923586721546</v>
      </c>
      <c r="G34" s="554">
        <f t="shared" si="6"/>
        <v>2788.7726728479965</v>
      </c>
      <c r="H34" s="459">
        <f t="shared" si="7"/>
        <v>-5465.227327152003</v>
      </c>
    </row>
    <row r="35" spans="1:8" s="557" customFormat="1" ht="15.75" customHeight="1">
      <c r="A35" s="555" t="s">
        <v>562</v>
      </c>
      <c r="B35" s="556">
        <v>616492</v>
      </c>
      <c r="C35" s="550">
        <v>8038</v>
      </c>
      <c r="D35" s="551">
        <f t="shared" si="4"/>
        <v>76.69718835531226</v>
      </c>
      <c r="E35" s="552">
        <v>24</v>
      </c>
      <c r="F35" s="553">
        <f t="shared" si="5"/>
        <v>0.7589497843327258</v>
      </c>
      <c r="G35" s="554">
        <f t="shared" si="6"/>
        <v>6100.438366466449</v>
      </c>
      <c r="H35" s="459">
        <f t="shared" si="7"/>
        <v>-1937.5616335335508</v>
      </c>
    </row>
    <row r="36" spans="2:8" ht="13.5">
      <c r="B36" s="565"/>
      <c r="C36" s="550"/>
      <c r="D36" s="551"/>
      <c r="E36" s="552"/>
      <c r="F36" s="553"/>
      <c r="G36" s="554"/>
      <c r="H36" s="459"/>
    </row>
    <row r="37" spans="1:8" s="134" customFormat="1" ht="14.25">
      <c r="A37" s="566" t="s">
        <v>563</v>
      </c>
      <c r="B37" s="567">
        <f>SUM(B38:B44)</f>
        <v>5234187</v>
      </c>
      <c r="C37" s="568">
        <f>SUM(C38:C44)</f>
        <v>65880</v>
      </c>
      <c r="D37" s="545">
        <f aca="true" t="shared" si="8" ref="D37:D44">B37/C37</f>
        <v>79.45031876138434</v>
      </c>
      <c r="E37" s="564"/>
      <c r="F37" s="547">
        <f aca="true" t="shared" si="9" ref="F37:F44">D37/101.057</f>
        <v>0.7861931262691781</v>
      </c>
      <c r="G37" s="548">
        <f aca="true" t="shared" si="10" ref="G37:G44">F37*C37</f>
        <v>51794.40315861346</v>
      </c>
      <c r="H37" s="458">
        <f aca="true" t="shared" si="11" ref="H37:H44">G37-C37</f>
        <v>-14085.596841386541</v>
      </c>
    </row>
    <row r="38" spans="1:8" s="557" customFormat="1" ht="15.75" customHeight="1">
      <c r="A38" s="555" t="s">
        <v>564</v>
      </c>
      <c r="B38" s="556">
        <v>428497</v>
      </c>
      <c r="C38" s="550">
        <v>8720</v>
      </c>
      <c r="D38" s="551">
        <f t="shared" si="8"/>
        <v>49.13956422018349</v>
      </c>
      <c r="E38" s="552">
        <v>45</v>
      </c>
      <c r="F38" s="553">
        <f t="shared" si="9"/>
        <v>0.4862559171574803</v>
      </c>
      <c r="G38" s="554">
        <f t="shared" si="10"/>
        <v>4240.151597613228</v>
      </c>
      <c r="H38" s="459">
        <f t="shared" si="11"/>
        <v>-4479.848402386772</v>
      </c>
    </row>
    <row r="39" spans="1:8" s="557" customFormat="1" ht="15.75" customHeight="1">
      <c r="A39" s="555" t="s">
        <v>565</v>
      </c>
      <c r="B39" s="556">
        <v>894636</v>
      </c>
      <c r="C39" s="550">
        <v>14386</v>
      </c>
      <c r="D39" s="551">
        <f t="shared" si="8"/>
        <v>62.18796051716947</v>
      </c>
      <c r="E39" s="552">
        <v>34</v>
      </c>
      <c r="F39" s="553">
        <f t="shared" si="9"/>
        <v>0.6153750904654747</v>
      </c>
      <c r="G39" s="554">
        <f t="shared" si="10"/>
        <v>8852.786051436318</v>
      </c>
      <c r="H39" s="459">
        <f t="shared" si="11"/>
        <v>-5533.213948563682</v>
      </c>
    </row>
    <row r="40" spans="1:8" s="557" customFormat="1" ht="15.75" customHeight="1">
      <c r="A40" s="555" t="s">
        <v>566</v>
      </c>
      <c r="B40" s="556">
        <v>843808</v>
      </c>
      <c r="C40" s="550">
        <v>10822</v>
      </c>
      <c r="D40" s="551">
        <f t="shared" si="8"/>
        <v>77.97153945666236</v>
      </c>
      <c r="E40" s="552">
        <v>22</v>
      </c>
      <c r="F40" s="553">
        <f t="shared" si="9"/>
        <v>0.7715600053104916</v>
      </c>
      <c r="G40" s="554">
        <f t="shared" si="10"/>
        <v>8349.82237747014</v>
      </c>
      <c r="H40" s="459">
        <f t="shared" si="11"/>
        <v>-2472.17762252986</v>
      </c>
    </row>
    <row r="41" spans="1:8" s="557" customFormat="1" ht="15.75" customHeight="1">
      <c r="A41" s="555" t="s">
        <v>567</v>
      </c>
      <c r="B41" s="556">
        <v>632972</v>
      </c>
      <c r="C41" s="550">
        <v>7749</v>
      </c>
      <c r="D41" s="551">
        <f t="shared" si="8"/>
        <v>81.68434636727319</v>
      </c>
      <c r="E41" s="552">
        <v>21</v>
      </c>
      <c r="F41" s="553">
        <f t="shared" si="9"/>
        <v>0.8082997354688264</v>
      </c>
      <c r="G41" s="554">
        <f t="shared" si="10"/>
        <v>6263.514650147936</v>
      </c>
      <c r="H41" s="459">
        <f t="shared" si="11"/>
        <v>-1485.4853498520642</v>
      </c>
    </row>
    <row r="42" spans="1:8" s="560" customFormat="1" ht="15.75" customHeight="1">
      <c r="A42" s="558" t="s">
        <v>568</v>
      </c>
      <c r="B42" s="556">
        <v>2140933</v>
      </c>
      <c r="C42" s="559">
        <v>14212</v>
      </c>
      <c r="D42" s="551">
        <f t="shared" si="8"/>
        <v>150.6426259499015</v>
      </c>
      <c r="E42" s="552">
        <v>4</v>
      </c>
      <c r="F42" s="553">
        <f t="shared" si="9"/>
        <v>1.490669878879261</v>
      </c>
      <c r="G42" s="554">
        <f t="shared" si="10"/>
        <v>21185.400318632055</v>
      </c>
      <c r="H42" s="459">
        <f t="shared" si="11"/>
        <v>6973.400318632055</v>
      </c>
    </row>
    <row r="43" spans="1:8" s="557" customFormat="1" ht="15.75" customHeight="1">
      <c r="A43" s="555" t="s">
        <v>569</v>
      </c>
      <c r="B43" s="556">
        <v>118321</v>
      </c>
      <c r="C43" s="550">
        <v>4358</v>
      </c>
      <c r="D43" s="551">
        <f t="shared" si="8"/>
        <v>27.150298301973383</v>
      </c>
      <c r="E43" s="552">
        <v>67</v>
      </c>
      <c r="F43" s="553">
        <f t="shared" si="9"/>
        <v>0.26866321285980566</v>
      </c>
      <c r="G43" s="554">
        <f t="shared" si="10"/>
        <v>1170.8342816430331</v>
      </c>
      <c r="H43" s="459">
        <f t="shared" si="11"/>
        <v>-3187.165718356967</v>
      </c>
    </row>
    <row r="44" spans="1:8" s="557" customFormat="1" ht="15.75" customHeight="1">
      <c r="A44" s="555" t="s">
        <v>570</v>
      </c>
      <c r="B44" s="556">
        <v>175020</v>
      </c>
      <c r="C44" s="550">
        <v>5633</v>
      </c>
      <c r="D44" s="551">
        <f t="shared" si="8"/>
        <v>31.070477543049886</v>
      </c>
      <c r="E44" s="552">
        <v>63</v>
      </c>
      <c r="F44" s="553">
        <f t="shared" si="9"/>
        <v>0.3074549763306835</v>
      </c>
      <c r="G44" s="554">
        <f t="shared" si="10"/>
        <v>1731.8938816707403</v>
      </c>
      <c r="H44" s="459">
        <f t="shared" si="11"/>
        <v>-3901.1061183292595</v>
      </c>
    </row>
    <row r="45" spans="2:8" ht="13.5">
      <c r="B45" s="565"/>
      <c r="C45" s="550"/>
      <c r="D45" s="551"/>
      <c r="E45" s="552"/>
      <c r="F45" s="553"/>
      <c r="G45" s="554"/>
      <c r="H45" s="459"/>
    </row>
    <row r="46" spans="1:8" s="134" customFormat="1" ht="14.25">
      <c r="A46" s="566" t="s">
        <v>571</v>
      </c>
      <c r="B46" s="567">
        <f>SUM(B47:B51)</f>
        <v>2600258</v>
      </c>
      <c r="C46" s="568">
        <f>SUM(C47:C51)</f>
        <v>44099</v>
      </c>
      <c r="D46" s="545">
        <f aca="true" t="shared" si="12" ref="D46:D51">B46/C46</f>
        <v>58.9641034944103</v>
      </c>
      <c r="E46" s="564"/>
      <c r="F46" s="547">
        <f aca="true" t="shared" si="13" ref="F46:F51">D46/101.057</f>
        <v>0.5834737177475118</v>
      </c>
      <c r="G46" s="548">
        <f aca="true" t="shared" si="14" ref="G46:G51">F46*C46</f>
        <v>25730.60747894752</v>
      </c>
      <c r="H46" s="458">
        <f aca="true" t="shared" si="15" ref="H46:H51">G46-C46</f>
        <v>-18368.39252105248</v>
      </c>
    </row>
    <row r="47" spans="1:8" s="557" customFormat="1" ht="15.75" customHeight="1">
      <c r="A47" s="555" t="s">
        <v>572</v>
      </c>
      <c r="B47" s="556">
        <v>681397</v>
      </c>
      <c r="C47" s="550">
        <v>10365</v>
      </c>
      <c r="D47" s="551">
        <f t="shared" si="12"/>
        <v>65.7401833092137</v>
      </c>
      <c r="E47" s="552">
        <v>32</v>
      </c>
      <c r="F47" s="553">
        <f t="shared" si="13"/>
        <v>0.6505257756435844</v>
      </c>
      <c r="G47" s="554">
        <f t="shared" si="14"/>
        <v>6742.699664545752</v>
      </c>
      <c r="H47" s="459">
        <f t="shared" si="15"/>
        <v>-3622.300335454248</v>
      </c>
    </row>
    <row r="48" spans="1:8" s="557" customFormat="1" ht="15.75" customHeight="1">
      <c r="A48" s="555" t="s">
        <v>573</v>
      </c>
      <c r="B48" s="556">
        <v>629186</v>
      </c>
      <c r="C48" s="550">
        <v>9043</v>
      </c>
      <c r="D48" s="551">
        <f t="shared" si="12"/>
        <v>69.57713148291496</v>
      </c>
      <c r="E48" s="552">
        <v>28</v>
      </c>
      <c r="F48" s="553">
        <f t="shared" si="13"/>
        <v>0.6884939339473264</v>
      </c>
      <c r="G48" s="554">
        <f t="shared" si="14"/>
        <v>6226.0506446856725</v>
      </c>
      <c r="H48" s="459">
        <f t="shared" si="15"/>
        <v>-2816.9493553143275</v>
      </c>
    </row>
    <row r="49" spans="1:8" s="557" customFormat="1" ht="15.75" customHeight="1">
      <c r="A49" s="555" t="s">
        <v>574</v>
      </c>
      <c r="B49" s="556">
        <v>1138328</v>
      </c>
      <c r="C49" s="550">
        <v>18596</v>
      </c>
      <c r="D49" s="551">
        <f t="shared" si="12"/>
        <v>61.21359432135943</v>
      </c>
      <c r="E49" s="552">
        <v>35</v>
      </c>
      <c r="F49" s="553">
        <f t="shared" si="13"/>
        <v>0.6057333417908648</v>
      </c>
      <c r="G49" s="554">
        <f t="shared" si="14"/>
        <v>11264.217223942922</v>
      </c>
      <c r="H49" s="459">
        <f t="shared" si="15"/>
        <v>-7331.782776057078</v>
      </c>
    </row>
    <row r="50" spans="1:8" s="557" customFormat="1" ht="15.75" customHeight="1">
      <c r="A50" s="555" t="s">
        <v>575</v>
      </c>
      <c r="B50" s="556">
        <v>89657</v>
      </c>
      <c r="C50" s="550">
        <v>3225</v>
      </c>
      <c r="D50" s="551">
        <f t="shared" si="12"/>
        <v>27.80062015503876</v>
      </c>
      <c r="E50" s="552">
        <v>66</v>
      </c>
      <c r="F50" s="553">
        <f t="shared" si="13"/>
        <v>0.2750984113424974</v>
      </c>
      <c r="G50" s="554">
        <f t="shared" si="14"/>
        <v>887.1923765795541</v>
      </c>
      <c r="H50" s="459">
        <f t="shared" si="15"/>
        <v>-2337.807623420446</v>
      </c>
    </row>
    <row r="51" spans="1:8" s="560" customFormat="1" ht="15.75" customHeight="1">
      <c r="A51" s="558" t="s">
        <v>576</v>
      </c>
      <c r="B51" s="556">
        <v>61690</v>
      </c>
      <c r="C51" s="559">
        <v>2870</v>
      </c>
      <c r="D51" s="551">
        <f t="shared" si="12"/>
        <v>21.494773519163765</v>
      </c>
      <c r="E51" s="552">
        <v>69</v>
      </c>
      <c r="F51" s="553">
        <f t="shared" si="13"/>
        <v>0.21269950146119285</v>
      </c>
      <c r="G51" s="554">
        <f t="shared" si="14"/>
        <v>610.4475691936235</v>
      </c>
      <c r="H51" s="459">
        <f t="shared" si="15"/>
        <v>-2259.5524308063764</v>
      </c>
    </row>
    <row r="52" spans="2:8" ht="13.5">
      <c r="B52" s="569"/>
      <c r="C52" s="550"/>
      <c r="D52" s="570"/>
      <c r="E52" s="571"/>
      <c r="F52" s="553"/>
      <c r="G52" s="554"/>
      <c r="H52" s="459"/>
    </row>
    <row r="53" spans="2:8" ht="13.5">
      <c r="B53" s="569"/>
      <c r="C53" s="550"/>
      <c r="D53" s="570"/>
      <c r="E53" s="571"/>
      <c r="F53" s="553"/>
      <c r="G53" s="554"/>
      <c r="H53" s="459"/>
    </row>
    <row r="54" spans="2:8" ht="13.5">
      <c r="B54" s="569"/>
      <c r="C54" s="550"/>
      <c r="D54" s="570"/>
      <c r="E54" s="571"/>
      <c r="F54" s="553"/>
      <c r="G54" s="554"/>
      <c r="H54" s="459"/>
    </row>
    <row r="55" spans="2:8" ht="13.5">
      <c r="B55" s="569"/>
      <c r="C55" s="550"/>
      <c r="D55" s="570"/>
      <c r="E55" s="571"/>
      <c r="F55" s="553"/>
      <c r="G55" s="554"/>
      <c r="H55" s="459"/>
    </row>
    <row r="56" spans="2:8" ht="13.5">
      <c r="B56" s="569"/>
      <c r="C56" s="550"/>
      <c r="D56" s="570"/>
      <c r="E56" s="571"/>
      <c r="F56" s="553"/>
      <c r="G56" s="554"/>
      <c r="H56" s="459"/>
    </row>
    <row r="57" spans="2:8" ht="13.5">
      <c r="B57" s="569"/>
      <c r="C57" s="550"/>
      <c r="D57" s="570"/>
      <c r="E57" s="571"/>
      <c r="F57" s="553"/>
      <c r="G57" s="554"/>
      <c r="H57" s="459"/>
    </row>
    <row r="58" spans="2:8" ht="13.5">
      <c r="B58" s="569"/>
      <c r="C58" s="550"/>
      <c r="D58" s="570"/>
      <c r="E58" s="571"/>
      <c r="F58" s="553"/>
      <c r="G58" s="554"/>
      <c r="H58" s="459"/>
    </row>
    <row r="59" spans="2:8" ht="13.5">
      <c r="B59" s="569"/>
      <c r="C59" s="550"/>
      <c r="D59" s="570"/>
      <c r="E59" s="571"/>
      <c r="F59" s="553"/>
      <c r="G59" s="554"/>
      <c r="H59" s="459"/>
    </row>
    <row r="60" spans="2:8" ht="13.5">
      <c r="B60" s="569"/>
      <c r="C60" s="550"/>
      <c r="D60" s="570"/>
      <c r="E60" s="571"/>
      <c r="F60" s="553"/>
      <c r="G60" s="554"/>
      <c r="H60" s="459"/>
    </row>
    <row r="61" spans="2:8" ht="13.5">
      <c r="B61" s="569"/>
      <c r="C61" s="550"/>
      <c r="D61" s="570"/>
      <c r="E61" s="571"/>
      <c r="F61" s="553"/>
      <c r="G61" s="554"/>
      <c r="H61" s="459"/>
    </row>
    <row r="62" spans="2:8" ht="13.5">
      <c r="B62" s="569"/>
      <c r="C62" s="550"/>
      <c r="D62" s="570"/>
      <c r="E62" s="571"/>
      <c r="F62" s="553"/>
      <c r="G62" s="554"/>
      <c r="H62" s="459"/>
    </row>
    <row r="63" spans="2:8" ht="13.5">
      <c r="B63" s="569"/>
      <c r="C63" s="550"/>
      <c r="D63" s="570"/>
      <c r="E63" s="571"/>
      <c r="F63" s="553"/>
      <c r="G63" s="554"/>
      <c r="H63" s="459"/>
    </row>
    <row r="64" spans="2:8" ht="13.5">
      <c r="B64" s="569"/>
      <c r="C64" s="550"/>
      <c r="D64" s="570"/>
      <c r="E64" s="571"/>
      <c r="F64" s="553"/>
      <c r="G64" s="554"/>
      <c r="H64" s="459"/>
    </row>
    <row r="65" spans="2:8" ht="13.5">
      <c r="B65" s="569"/>
      <c r="C65" s="550"/>
      <c r="D65" s="570"/>
      <c r="E65" s="571"/>
      <c r="F65" s="553"/>
      <c r="G65" s="554"/>
      <c r="H65" s="459"/>
    </row>
    <row r="66" spans="2:8" ht="13.5">
      <c r="B66" s="569"/>
      <c r="C66" s="550"/>
      <c r="D66" s="551"/>
      <c r="E66" s="552"/>
      <c r="F66" s="553"/>
      <c r="G66" s="554"/>
      <c r="H66" s="459"/>
    </row>
    <row r="67" spans="2:8" ht="13.5">
      <c r="B67" s="569"/>
      <c r="C67" s="550"/>
      <c r="D67" s="551"/>
      <c r="E67" s="552"/>
      <c r="F67" s="553"/>
      <c r="G67" s="554"/>
      <c r="H67" s="459"/>
    </row>
    <row r="68" spans="2:8" ht="13.5">
      <c r="B68" s="569"/>
      <c r="C68" s="550"/>
      <c r="D68" s="551"/>
      <c r="E68" s="552"/>
      <c r="F68" s="553"/>
      <c r="G68" s="554"/>
      <c r="H68" s="459"/>
    </row>
    <row r="69" spans="2:8" ht="13.5">
      <c r="B69" s="569"/>
      <c r="C69" s="550"/>
      <c r="D69" s="551"/>
      <c r="E69" s="552"/>
      <c r="F69" s="553"/>
      <c r="G69" s="554"/>
      <c r="H69" s="459"/>
    </row>
    <row r="70" spans="2:8" ht="13.5">
      <c r="B70" s="569"/>
      <c r="C70" s="550"/>
      <c r="D70" s="551"/>
      <c r="E70" s="552"/>
      <c r="F70" s="553"/>
      <c r="G70" s="554"/>
      <c r="H70" s="459"/>
    </row>
    <row r="71" spans="2:8" ht="13.5">
      <c r="B71" s="569"/>
      <c r="C71" s="550"/>
      <c r="D71" s="551"/>
      <c r="E71" s="552"/>
      <c r="F71" s="553"/>
      <c r="G71" s="554"/>
      <c r="H71" s="459"/>
    </row>
    <row r="72" spans="2:8" ht="13.5">
      <c r="B72" s="569"/>
      <c r="C72" s="550"/>
      <c r="D72" s="551"/>
      <c r="E72" s="552"/>
      <c r="F72" s="553"/>
      <c r="G72" s="554"/>
      <c r="H72" s="459"/>
    </row>
    <row r="73" spans="2:8" ht="13.5">
      <c r="B73" s="569"/>
      <c r="C73" s="550"/>
      <c r="D73" s="551"/>
      <c r="E73" s="552"/>
      <c r="F73" s="553"/>
      <c r="G73" s="554"/>
      <c r="H73" s="459"/>
    </row>
    <row r="74" spans="2:8" ht="13.5">
      <c r="B74" s="569"/>
      <c r="C74" s="550"/>
      <c r="D74" s="551"/>
      <c r="E74" s="552"/>
      <c r="F74" s="553"/>
      <c r="G74" s="554"/>
      <c r="H74" s="459"/>
    </row>
    <row r="75" spans="2:8" ht="13.5">
      <c r="B75" s="569"/>
      <c r="C75" s="550"/>
      <c r="D75" s="551"/>
      <c r="E75" s="552"/>
      <c r="F75" s="553"/>
      <c r="G75" s="554"/>
      <c r="H75" s="459"/>
    </row>
    <row r="76" spans="2:8" ht="13.5">
      <c r="B76" s="569"/>
      <c r="C76" s="550"/>
      <c r="D76" s="551"/>
      <c r="E76" s="552"/>
      <c r="F76" s="553"/>
      <c r="G76" s="554"/>
      <c r="H76" s="459"/>
    </row>
    <row r="77" spans="2:8" ht="13.5">
      <c r="B77" s="569"/>
      <c r="C77" s="550"/>
      <c r="D77" s="551"/>
      <c r="E77" s="552"/>
      <c r="F77" s="553"/>
      <c r="G77" s="554"/>
      <c r="H77" s="459"/>
    </row>
    <row r="78" spans="2:8" ht="13.5">
      <c r="B78" s="569"/>
      <c r="C78" s="550"/>
      <c r="D78" s="551"/>
      <c r="E78" s="552"/>
      <c r="F78" s="553"/>
      <c r="G78" s="554"/>
      <c r="H78" s="459"/>
    </row>
    <row r="79" spans="2:8" ht="13.5">
      <c r="B79" s="569"/>
      <c r="C79" s="550"/>
      <c r="D79" s="551"/>
      <c r="E79" s="552"/>
      <c r="F79" s="553"/>
      <c r="G79" s="554"/>
      <c r="H79" s="459"/>
    </row>
    <row r="80" spans="2:8" ht="13.5">
      <c r="B80" s="569"/>
      <c r="C80" s="550"/>
      <c r="D80" s="551"/>
      <c r="E80" s="552"/>
      <c r="F80" s="553"/>
      <c r="G80" s="554"/>
      <c r="H80" s="459"/>
    </row>
    <row r="81" spans="2:8" ht="13.5">
      <c r="B81" s="569"/>
      <c r="C81" s="550"/>
      <c r="D81" s="551"/>
      <c r="E81" s="552"/>
      <c r="F81" s="553"/>
      <c r="G81" s="554"/>
      <c r="H81" s="459"/>
    </row>
    <row r="82" spans="2:8" ht="13.5">
      <c r="B82" s="569"/>
      <c r="C82" s="550"/>
      <c r="D82" s="551"/>
      <c r="E82" s="552"/>
      <c r="F82" s="553"/>
      <c r="G82" s="554"/>
      <c r="H82" s="459"/>
    </row>
    <row r="83" spans="2:8" ht="13.5">
      <c r="B83" s="569"/>
      <c r="C83" s="550"/>
      <c r="D83" s="551"/>
      <c r="E83" s="552"/>
      <c r="F83" s="553"/>
      <c r="G83" s="554"/>
      <c r="H83" s="459"/>
    </row>
    <row r="84" spans="2:8" ht="13.5">
      <c r="B84" s="569"/>
      <c r="C84" s="550"/>
      <c r="D84" s="551"/>
      <c r="E84" s="552"/>
      <c r="F84" s="553"/>
      <c r="G84" s="554"/>
      <c r="H84" s="459"/>
    </row>
    <row r="85" spans="2:8" ht="13.5">
      <c r="B85" s="569"/>
      <c r="C85" s="550"/>
      <c r="D85" s="551"/>
      <c r="E85" s="552"/>
      <c r="F85" s="553"/>
      <c r="G85" s="554"/>
      <c r="H85" s="459"/>
    </row>
    <row r="86" spans="2:8" ht="13.5">
      <c r="B86" s="569"/>
      <c r="C86" s="550"/>
      <c r="D86" s="551"/>
      <c r="E86" s="552"/>
      <c r="F86" s="553"/>
      <c r="G86" s="554"/>
      <c r="H86" s="459"/>
    </row>
    <row r="87" spans="2:8" ht="13.5">
      <c r="B87" s="569"/>
      <c r="C87" s="550"/>
      <c r="D87" s="551"/>
      <c r="E87" s="552"/>
      <c r="F87" s="553"/>
      <c r="G87" s="554"/>
      <c r="H87" s="459"/>
    </row>
    <row r="88" spans="2:8" ht="13.5">
      <c r="B88" s="569"/>
      <c r="C88" s="550"/>
      <c r="D88" s="551"/>
      <c r="E88" s="552"/>
      <c r="F88" s="553"/>
      <c r="G88" s="554"/>
      <c r="H88" s="459"/>
    </row>
    <row r="89" spans="2:8" ht="13.5">
      <c r="B89" s="569"/>
      <c r="C89" s="550"/>
      <c r="D89" s="551"/>
      <c r="E89" s="552"/>
      <c r="F89" s="553"/>
      <c r="G89" s="554"/>
      <c r="H89" s="459"/>
    </row>
    <row r="90" spans="2:8" ht="13.5">
      <c r="B90" s="569"/>
      <c r="C90" s="550"/>
      <c r="D90" s="551"/>
      <c r="E90" s="552"/>
      <c r="F90" s="553"/>
      <c r="G90" s="554"/>
      <c r="H90" s="459"/>
    </row>
    <row r="91" spans="2:8" ht="13.5">
      <c r="B91" s="569"/>
      <c r="C91" s="550"/>
      <c r="D91" s="551"/>
      <c r="E91" s="552"/>
      <c r="F91" s="553"/>
      <c r="G91" s="554"/>
      <c r="H91" s="459"/>
    </row>
    <row r="92" spans="2:8" ht="13.5">
      <c r="B92" s="569"/>
      <c r="C92" s="550"/>
      <c r="D92" s="551"/>
      <c r="E92" s="552"/>
      <c r="F92" s="553"/>
      <c r="G92" s="554"/>
      <c r="H92" s="459"/>
    </row>
    <row r="93" spans="2:8" ht="13.5">
      <c r="B93" s="569"/>
      <c r="C93" s="550"/>
      <c r="D93" s="551"/>
      <c r="E93" s="552"/>
      <c r="F93" s="553"/>
      <c r="G93" s="554"/>
      <c r="H93" s="459"/>
    </row>
    <row r="94" spans="2:8" ht="13.5">
      <c r="B94" s="569"/>
      <c r="C94" s="550"/>
      <c r="D94" s="551"/>
      <c r="E94" s="552"/>
      <c r="F94" s="553"/>
      <c r="G94" s="554"/>
      <c r="H94" s="459"/>
    </row>
    <row r="95" spans="2:8" ht="13.5">
      <c r="B95" s="569"/>
      <c r="C95" s="550"/>
      <c r="D95" s="551"/>
      <c r="E95" s="552"/>
      <c r="F95" s="553"/>
      <c r="G95" s="554"/>
      <c r="H95" s="459"/>
    </row>
    <row r="96" spans="2:8" ht="13.5">
      <c r="B96" s="569"/>
      <c r="C96" s="550"/>
      <c r="D96" s="551"/>
      <c r="E96" s="552"/>
      <c r="F96" s="553"/>
      <c r="G96" s="554"/>
      <c r="H96" s="459"/>
    </row>
    <row r="97" spans="2:8" ht="13.5">
      <c r="B97" s="569"/>
      <c r="C97" s="550"/>
      <c r="D97" s="551"/>
      <c r="E97" s="552"/>
      <c r="F97" s="553"/>
      <c r="G97" s="554"/>
      <c r="H97" s="459"/>
    </row>
    <row r="98" spans="2:8" ht="13.5">
      <c r="B98" s="569"/>
      <c r="C98" s="550"/>
      <c r="D98" s="551"/>
      <c r="E98" s="552"/>
      <c r="F98" s="553"/>
      <c r="G98" s="554"/>
      <c r="H98" s="459"/>
    </row>
    <row r="99" spans="2:8" ht="13.5">
      <c r="B99" s="569"/>
      <c r="C99" s="550"/>
      <c r="D99" s="551"/>
      <c r="E99" s="552"/>
      <c r="F99" s="553"/>
      <c r="G99" s="554"/>
      <c r="H99" s="459"/>
    </row>
    <row r="100" spans="2:8" ht="13.5">
      <c r="B100" s="569"/>
      <c r="C100" s="550"/>
      <c r="D100" s="551"/>
      <c r="E100" s="552"/>
      <c r="F100" s="553"/>
      <c r="G100" s="554"/>
      <c r="H100" s="459"/>
    </row>
    <row r="101" spans="2:8" ht="13.5">
      <c r="B101" s="569"/>
      <c r="C101" s="550"/>
      <c r="D101" s="551"/>
      <c r="E101" s="552"/>
      <c r="F101" s="553"/>
      <c r="G101" s="554"/>
      <c r="H101" s="459"/>
    </row>
    <row r="102" spans="2:8" ht="13.5">
      <c r="B102" s="569"/>
      <c r="C102" s="550"/>
      <c r="D102" s="551"/>
      <c r="E102" s="552"/>
      <c r="F102" s="553"/>
      <c r="G102" s="554"/>
      <c r="H102" s="459"/>
    </row>
    <row r="103" spans="2:8" ht="13.5">
      <c r="B103" s="569"/>
      <c r="C103" s="550"/>
      <c r="D103" s="551"/>
      <c r="E103" s="552"/>
      <c r="F103" s="553"/>
      <c r="G103" s="554"/>
      <c r="H103" s="459"/>
    </row>
    <row r="104" spans="2:8" ht="13.5">
      <c r="B104" s="569"/>
      <c r="C104" s="550"/>
      <c r="D104" s="551"/>
      <c r="E104" s="552"/>
      <c r="F104" s="553"/>
      <c r="G104" s="554"/>
      <c r="H104" s="459"/>
    </row>
    <row r="105" spans="2:8" ht="13.5">
      <c r="B105" s="569"/>
      <c r="C105" s="550"/>
      <c r="D105" s="551"/>
      <c r="E105" s="552"/>
      <c r="F105" s="553"/>
      <c r="G105" s="554"/>
      <c r="H105" s="459"/>
    </row>
    <row r="106" spans="2:8" ht="13.5">
      <c r="B106" s="569"/>
      <c r="C106" s="550"/>
      <c r="D106" s="551"/>
      <c r="E106" s="552"/>
      <c r="F106" s="553"/>
      <c r="G106" s="554"/>
      <c r="H106" s="459"/>
    </row>
    <row r="107" spans="2:8" ht="13.5">
      <c r="B107" s="569"/>
      <c r="C107" s="550"/>
      <c r="D107" s="551"/>
      <c r="E107" s="552"/>
      <c r="F107" s="553"/>
      <c r="G107" s="554"/>
      <c r="H107" s="459"/>
    </row>
    <row r="108" spans="2:8" ht="13.5">
      <c r="B108" s="569"/>
      <c r="C108" s="550"/>
      <c r="D108" s="551"/>
      <c r="E108" s="552"/>
      <c r="F108" s="553"/>
      <c r="G108" s="554"/>
      <c r="H108" s="459"/>
    </row>
    <row r="109" spans="2:8" ht="13.5">
      <c r="B109" s="569"/>
      <c r="C109" s="550"/>
      <c r="D109" s="551"/>
      <c r="E109" s="552"/>
      <c r="F109" s="553"/>
      <c r="G109" s="554"/>
      <c r="H109" s="459"/>
    </row>
    <row r="110" spans="2:8" ht="13.5">
      <c r="B110" s="569"/>
      <c r="C110" s="550"/>
      <c r="D110" s="551"/>
      <c r="E110" s="552"/>
      <c r="F110" s="553"/>
      <c r="G110" s="554"/>
      <c r="H110" s="459"/>
    </row>
    <row r="111" spans="2:8" ht="13.5">
      <c r="B111" s="569"/>
      <c r="C111" s="550"/>
      <c r="D111" s="551"/>
      <c r="E111" s="552"/>
      <c r="F111" s="553"/>
      <c r="G111" s="554"/>
      <c r="H111" s="459"/>
    </row>
    <row r="112" spans="2:8" ht="13.5">
      <c r="B112" s="569"/>
      <c r="C112" s="550"/>
      <c r="D112" s="551"/>
      <c r="E112" s="552"/>
      <c r="F112" s="553"/>
      <c r="G112" s="554"/>
      <c r="H112" s="459"/>
    </row>
    <row r="113" spans="2:8" ht="13.5">
      <c r="B113" s="569"/>
      <c r="C113" s="550"/>
      <c r="D113" s="551"/>
      <c r="E113" s="552"/>
      <c r="F113" s="553"/>
      <c r="G113" s="554"/>
      <c r="H113" s="459"/>
    </row>
    <row r="114" spans="2:8" ht="13.5">
      <c r="B114" s="569"/>
      <c r="C114" s="550"/>
      <c r="D114" s="551"/>
      <c r="E114" s="552"/>
      <c r="F114" s="553"/>
      <c r="G114" s="554"/>
      <c r="H114" s="459"/>
    </row>
    <row r="115" spans="2:8" ht="13.5">
      <c r="B115" s="569"/>
      <c r="C115" s="550"/>
      <c r="D115" s="551"/>
      <c r="E115" s="552"/>
      <c r="F115" s="553"/>
      <c r="G115" s="554"/>
      <c r="H115" s="459"/>
    </row>
    <row r="116" spans="2:8" ht="13.5">
      <c r="B116" s="569"/>
      <c r="C116" s="550"/>
      <c r="D116" s="551"/>
      <c r="E116" s="552"/>
      <c r="F116" s="553"/>
      <c r="G116" s="554"/>
      <c r="H116" s="459"/>
    </row>
    <row r="117" spans="2:8" ht="13.5">
      <c r="B117" s="569"/>
      <c r="C117" s="550"/>
      <c r="D117" s="551"/>
      <c r="E117" s="552"/>
      <c r="F117" s="553"/>
      <c r="G117" s="554"/>
      <c r="H117" s="459"/>
    </row>
    <row r="118" spans="2:8" ht="13.5">
      <c r="B118" s="569"/>
      <c r="C118" s="550"/>
      <c r="D118" s="551"/>
      <c r="E118" s="552"/>
      <c r="F118" s="553"/>
      <c r="G118" s="554"/>
      <c r="H118" s="459"/>
    </row>
    <row r="119" spans="2:8" ht="13.5">
      <c r="B119" s="569"/>
      <c r="C119" s="550"/>
      <c r="D119" s="551"/>
      <c r="E119" s="552"/>
      <c r="F119" s="553"/>
      <c r="G119" s="554"/>
      <c r="H119" s="459"/>
    </row>
    <row r="120" spans="2:8" ht="13.5">
      <c r="B120" s="569"/>
      <c r="C120" s="550"/>
      <c r="D120" s="551"/>
      <c r="E120" s="552"/>
      <c r="F120" s="553"/>
      <c r="G120" s="554"/>
      <c r="H120" s="459"/>
    </row>
    <row r="121" spans="2:8" ht="13.5">
      <c r="B121" s="569"/>
      <c r="C121" s="550"/>
      <c r="D121" s="551"/>
      <c r="E121" s="552"/>
      <c r="F121" s="553"/>
      <c r="G121" s="554"/>
      <c r="H121" s="459"/>
    </row>
    <row r="122" spans="2:8" ht="13.5">
      <c r="B122" s="569"/>
      <c r="C122" s="550"/>
      <c r="D122" s="551"/>
      <c r="E122" s="552"/>
      <c r="F122" s="553"/>
      <c r="G122" s="554"/>
      <c r="H122" s="459"/>
    </row>
    <row r="123" spans="2:8" ht="13.5">
      <c r="B123" s="569"/>
      <c r="C123" s="550"/>
      <c r="D123" s="551"/>
      <c r="E123" s="552"/>
      <c r="F123" s="553"/>
      <c r="G123" s="554"/>
      <c r="H123" s="459"/>
    </row>
    <row r="124" spans="2:8" ht="13.5">
      <c r="B124" s="569"/>
      <c r="C124" s="550"/>
      <c r="D124" s="551"/>
      <c r="E124" s="552"/>
      <c r="F124" s="553"/>
      <c r="G124" s="554"/>
      <c r="H124" s="459"/>
    </row>
    <row r="125" spans="2:8" ht="13.5">
      <c r="B125" s="569"/>
      <c r="C125" s="550"/>
      <c r="D125" s="551"/>
      <c r="E125" s="552"/>
      <c r="F125" s="553"/>
      <c r="G125" s="554"/>
      <c r="H125" s="459"/>
    </row>
    <row r="126" spans="2:8" ht="13.5">
      <c r="B126" s="569"/>
      <c r="C126" s="550"/>
      <c r="D126" s="551"/>
      <c r="E126" s="552"/>
      <c r="F126" s="553"/>
      <c r="G126" s="554"/>
      <c r="H126" s="459"/>
    </row>
    <row r="127" spans="2:8" ht="13.5">
      <c r="B127" s="569"/>
      <c r="C127" s="550"/>
      <c r="D127" s="551"/>
      <c r="E127" s="552"/>
      <c r="F127" s="553"/>
      <c r="G127" s="554"/>
      <c r="H127" s="459"/>
    </row>
  </sheetData>
  <mergeCells count="5">
    <mergeCell ref="A2:A3"/>
    <mergeCell ref="B2:B3"/>
    <mergeCell ref="D2:E2"/>
    <mergeCell ref="D3:D4"/>
    <mergeCell ref="E3:E4"/>
  </mergeCells>
  <printOptions/>
  <pageMargins left="0.75" right="0.75" top="1" bottom="1" header="0.512" footer="0.512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0">
    <tabColor indexed="44"/>
  </sheetPr>
  <dimension ref="B1:R26"/>
  <sheetViews>
    <sheetView zoomScale="60" zoomScaleNormal="60" zoomScaleSheetLayoutView="75" workbookViewId="0" topLeftCell="A1">
      <selection activeCell="J31" sqref="J31"/>
    </sheetView>
  </sheetViews>
  <sheetFormatPr defaultColWidth="9.00390625" defaultRowHeight="13.5"/>
  <cols>
    <col min="1" max="1" width="3.625" style="0" customWidth="1"/>
    <col min="2" max="2" width="36.125" style="0" customWidth="1"/>
    <col min="3" max="3" width="9.625" style="0" bestFit="1" customWidth="1"/>
    <col min="4" max="5" width="9.125" style="0" bestFit="1" customWidth="1"/>
    <col min="6" max="6" width="10.375" style="0" bestFit="1" customWidth="1"/>
    <col min="7" max="8" width="9.125" style="0" bestFit="1" customWidth="1"/>
    <col min="9" max="9" width="11.625" style="0" bestFit="1" customWidth="1"/>
    <col min="10" max="10" width="13.125" style="0" customWidth="1"/>
    <col min="11" max="11" width="11.25390625" style="0" customWidth="1"/>
    <col min="12" max="12" width="11.875" style="0" customWidth="1"/>
    <col min="13" max="13" width="10.375" style="0" bestFit="1" customWidth="1"/>
    <col min="14" max="14" width="9.625" style="0" bestFit="1" customWidth="1"/>
    <col min="15" max="15" width="9.125" style="0" bestFit="1" customWidth="1"/>
    <col min="16" max="16" width="9.00390625" style="61" customWidth="1"/>
    <col min="17" max="18" width="9.625" style="0" customWidth="1"/>
  </cols>
  <sheetData>
    <row r="1" ht="15" thickBot="1">
      <c r="B1" s="242" t="s">
        <v>353</v>
      </c>
    </row>
    <row r="2" spans="2:18" ht="19.5" customHeight="1">
      <c r="B2" s="676" t="s">
        <v>344</v>
      </c>
      <c r="C2" s="598" t="s">
        <v>16</v>
      </c>
      <c r="D2" s="636"/>
      <c r="E2" s="599"/>
      <c r="F2" s="669" t="s">
        <v>65</v>
      </c>
      <c r="G2" s="673" t="s">
        <v>324</v>
      </c>
      <c r="H2" s="673" t="s">
        <v>69</v>
      </c>
      <c r="I2" s="669" t="s">
        <v>329</v>
      </c>
      <c r="J2" s="673" t="s">
        <v>115</v>
      </c>
      <c r="K2" s="673" t="s">
        <v>327</v>
      </c>
      <c r="L2" s="669" t="s">
        <v>74</v>
      </c>
      <c r="M2" s="598" t="s">
        <v>341</v>
      </c>
      <c r="N2" s="599"/>
      <c r="O2" s="14" t="s">
        <v>339</v>
      </c>
      <c r="P2" s="454" t="s">
        <v>342</v>
      </c>
      <c r="Q2" s="14" t="s">
        <v>74</v>
      </c>
      <c r="R2" s="457"/>
    </row>
    <row r="3" spans="2:18" ht="19.5" customHeight="1" thickBot="1">
      <c r="B3" s="677"/>
      <c r="C3" s="596"/>
      <c r="D3" s="672"/>
      <c r="E3" s="597"/>
      <c r="F3" s="671"/>
      <c r="G3" s="675"/>
      <c r="H3" s="675"/>
      <c r="I3" s="671"/>
      <c r="J3" s="675"/>
      <c r="K3" s="675"/>
      <c r="L3" s="671"/>
      <c r="M3" s="596"/>
      <c r="N3" s="597"/>
      <c r="O3" s="13" t="s">
        <v>340</v>
      </c>
      <c r="P3" s="455" t="s">
        <v>340</v>
      </c>
      <c r="Q3" s="13" t="s">
        <v>343</v>
      </c>
      <c r="R3" s="457"/>
    </row>
    <row r="4" spans="2:18" ht="19.5" customHeight="1">
      <c r="B4" s="677"/>
      <c r="C4" s="673" t="s">
        <v>24</v>
      </c>
      <c r="D4" s="673" t="s">
        <v>25</v>
      </c>
      <c r="E4" s="673" t="s">
        <v>26</v>
      </c>
      <c r="F4" s="671"/>
      <c r="G4" s="671" t="s">
        <v>322</v>
      </c>
      <c r="H4" s="671" t="s">
        <v>323</v>
      </c>
      <c r="I4" s="671"/>
      <c r="J4" s="671" t="s">
        <v>326</v>
      </c>
      <c r="K4" s="671" t="s">
        <v>328</v>
      </c>
      <c r="L4" s="671"/>
      <c r="M4" s="669" t="s">
        <v>65</v>
      </c>
      <c r="N4" s="14" t="s">
        <v>115</v>
      </c>
      <c r="O4" s="13" t="s">
        <v>115</v>
      </c>
      <c r="P4" s="455" t="s">
        <v>115</v>
      </c>
      <c r="Q4" s="13" t="s">
        <v>115</v>
      </c>
      <c r="R4" s="457"/>
    </row>
    <row r="5" spans="2:18" ht="19.5" customHeight="1" thickBot="1">
      <c r="B5" s="678"/>
      <c r="C5" s="674"/>
      <c r="D5" s="674"/>
      <c r="E5" s="674"/>
      <c r="F5" s="670"/>
      <c r="G5" s="670"/>
      <c r="H5" s="670"/>
      <c r="I5" s="670"/>
      <c r="J5" s="670"/>
      <c r="K5" s="670"/>
      <c r="L5" s="670"/>
      <c r="M5" s="670"/>
      <c r="N5" s="434" t="s">
        <v>326</v>
      </c>
      <c r="O5" s="434" t="s">
        <v>326</v>
      </c>
      <c r="P5" s="456" t="s">
        <v>326</v>
      </c>
      <c r="Q5" s="434" t="s">
        <v>326</v>
      </c>
      <c r="R5" s="461"/>
    </row>
    <row r="6" spans="2:18" s="162" customFormat="1" ht="19.5" customHeight="1">
      <c r="B6" s="155"/>
      <c r="C6" s="156" t="s">
        <v>32</v>
      </c>
      <c r="D6" s="435" t="s">
        <v>32</v>
      </c>
      <c r="E6" s="435" t="s">
        <v>32</v>
      </c>
      <c r="F6" s="174" t="s">
        <v>60</v>
      </c>
      <c r="G6" s="174" t="s">
        <v>60</v>
      </c>
      <c r="H6" s="174" t="s">
        <v>60</v>
      </c>
      <c r="I6" s="174" t="s">
        <v>60</v>
      </c>
      <c r="J6" s="435" t="s">
        <v>108</v>
      </c>
      <c r="K6" s="435" t="s">
        <v>108</v>
      </c>
      <c r="L6" s="435" t="s">
        <v>218</v>
      </c>
      <c r="M6" s="174" t="s">
        <v>60</v>
      </c>
      <c r="N6" s="435" t="s">
        <v>108</v>
      </c>
      <c r="O6" s="435" t="s">
        <v>108</v>
      </c>
      <c r="P6" s="174" t="s">
        <v>108</v>
      </c>
      <c r="Q6" s="157" t="s">
        <v>108</v>
      </c>
      <c r="R6" s="413"/>
    </row>
    <row r="7" spans="2:18" s="442" customFormat="1" ht="19.5" customHeight="1">
      <c r="B7" s="146" t="s">
        <v>33</v>
      </c>
      <c r="C7" s="147">
        <v>17522</v>
      </c>
      <c r="D7" s="98">
        <f>C7-E7</f>
        <v>8133</v>
      </c>
      <c r="E7" s="98">
        <v>9389</v>
      </c>
      <c r="F7" s="226">
        <f>F9+F18</f>
        <v>98727</v>
      </c>
      <c r="G7" s="226">
        <f>G9+G18</f>
        <v>3816</v>
      </c>
      <c r="H7" s="226">
        <f>H9+H18</f>
        <v>2043</v>
      </c>
      <c r="I7" s="226">
        <f>SUM(F7:H7)</f>
        <v>104586</v>
      </c>
      <c r="J7" s="98">
        <f>J9+J18</f>
        <v>262608370</v>
      </c>
      <c r="K7" s="458">
        <f>K9+K18</f>
        <v>6156712</v>
      </c>
      <c r="L7" s="98">
        <f>SUM(L8:L18)</f>
        <v>1552928</v>
      </c>
      <c r="M7" s="226">
        <f>M9+M18</f>
        <v>98727</v>
      </c>
      <c r="N7" s="98">
        <v>14987</v>
      </c>
      <c r="O7" s="98">
        <v>2660</v>
      </c>
      <c r="P7" s="226">
        <f>J7/I7*1</f>
        <v>2510.9323427609816</v>
      </c>
      <c r="Q7" s="441" t="s">
        <v>330</v>
      </c>
      <c r="R7" s="443"/>
    </row>
    <row r="8" spans="2:18" s="449" customFormat="1" ht="19.5" customHeight="1">
      <c r="B8" s="444"/>
      <c r="C8" s="445"/>
      <c r="D8" s="446"/>
      <c r="E8" s="446"/>
      <c r="F8" s="447"/>
      <c r="G8" s="447"/>
      <c r="H8" s="447"/>
      <c r="I8" s="447"/>
      <c r="J8" s="446"/>
      <c r="K8" s="459"/>
      <c r="L8" s="446"/>
      <c r="M8" s="447"/>
      <c r="N8" s="446"/>
      <c r="O8" s="446"/>
      <c r="P8" s="447"/>
      <c r="Q8" s="448"/>
      <c r="R8" s="446"/>
    </row>
    <row r="9" spans="2:18" s="442" customFormat="1" ht="19.5" customHeight="1">
      <c r="B9" s="146" t="s">
        <v>94</v>
      </c>
      <c r="C9" s="147">
        <v>3059</v>
      </c>
      <c r="D9" s="98">
        <f>C9-E9</f>
        <v>2377</v>
      </c>
      <c r="E9" s="98">
        <v>682</v>
      </c>
      <c r="F9" s="226">
        <f>SUM(F11:F16)</f>
        <v>23263</v>
      </c>
      <c r="G9" s="226">
        <f>SUM(G11:G16)</f>
        <v>557</v>
      </c>
      <c r="H9" s="226">
        <f>SUM(H11:H16)</f>
        <v>731</v>
      </c>
      <c r="I9" s="226">
        <f>SUM(F9:H9)</f>
        <v>24551</v>
      </c>
      <c r="J9" s="98">
        <f>SUM(J11:J16)</f>
        <v>145287351</v>
      </c>
      <c r="K9" s="458">
        <f>SUM(K11:K16)</f>
        <v>2421282</v>
      </c>
      <c r="L9" s="443" t="s">
        <v>331</v>
      </c>
      <c r="M9" s="226">
        <f>SUM(M11:M16)</f>
        <v>23263</v>
      </c>
      <c r="N9" s="98">
        <v>47495</v>
      </c>
      <c r="O9" s="98">
        <v>6245</v>
      </c>
      <c r="P9" s="226">
        <f>J9/I9*1</f>
        <v>5917.777320679402</v>
      </c>
      <c r="Q9" s="441" t="s">
        <v>331</v>
      </c>
      <c r="R9" s="443"/>
    </row>
    <row r="10" spans="2:18" s="449" customFormat="1" ht="19.5" customHeight="1">
      <c r="B10" s="444"/>
      <c r="C10" s="445"/>
      <c r="D10" s="446"/>
      <c r="E10" s="446"/>
      <c r="F10" s="447"/>
      <c r="G10" s="447"/>
      <c r="H10" s="447"/>
      <c r="I10" s="447"/>
      <c r="J10" s="446"/>
      <c r="K10" s="459"/>
      <c r="L10" s="450"/>
      <c r="M10" s="447"/>
      <c r="N10" s="446"/>
      <c r="O10" s="446"/>
      <c r="P10" s="447"/>
      <c r="Q10" s="448"/>
      <c r="R10" s="446"/>
    </row>
    <row r="11" spans="2:18" s="449" customFormat="1" ht="19.5" customHeight="1">
      <c r="B11" s="444" t="s">
        <v>35</v>
      </c>
      <c r="C11" s="445">
        <v>15</v>
      </c>
      <c r="D11" s="446">
        <f aca="true" t="shared" si="0" ref="D11:D16">C11-E11</f>
        <v>15</v>
      </c>
      <c r="E11" s="446">
        <v>0</v>
      </c>
      <c r="F11" s="447">
        <v>198</v>
      </c>
      <c r="G11" s="447">
        <v>1</v>
      </c>
      <c r="H11" s="447">
        <v>1</v>
      </c>
      <c r="I11" s="447">
        <f aca="true" t="shared" si="1" ref="I11:I16">SUM(F11:H11)</f>
        <v>200</v>
      </c>
      <c r="J11" s="446">
        <v>1762068</v>
      </c>
      <c r="K11" s="459">
        <v>2852</v>
      </c>
      <c r="L11" s="450" t="s">
        <v>332</v>
      </c>
      <c r="M11" s="447">
        <v>198</v>
      </c>
      <c r="N11" s="446">
        <v>117473</v>
      </c>
      <c r="O11" s="446">
        <v>8899</v>
      </c>
      <c r="P11" s="447">
        <f aca="true" t="shared" si="2" ref="P11:P16">J11/I11</f>
        <v>8810.34</v>
      </c>
      <c r="Q11" s="451" t="s">
        <v>332</v>
      </c>
      <c r="R11" s="450"/>
    </row>
    <row r="12" spans="2:18" s="449" customFormat="1" ht="19.5" customHeight="1">
      <c r="B12" s="444" t="s">
        <v>36</v>
      </c>
      <c r="C12" s="445">
        <v>85</v>
      </c>
      <c r="D12" s="446">
        <f t="shared" si="0"/>
        <v>67</v>
      </c>
      <c r="E12" s="446">
        <v>18</v>
      </c>
      <c r="F12" s="447">
        <v>514</v>
      </c>
      <c r="G12" s="447">
        <v>9</v>
      </c>
      <c r="H12" s="447">
        <v>3</v>
      </c>
      <c r="I12" s="447">
        <f t="shared" si="1"/>
        <v>526</v>
      </c>
      <c r="J12" s="446">
        <v>1385012</v>
      </c>
      <c r="K12" s="459">
        <v>9205</v>
      </c>
      <c r="L12" s="450" t="s">
        <v>333</v>
      </c>
      <c r="M12" s="447">
        <v>514</v>
      </c>
      <c r="N12" s="446">
        <v>16294</v>
      </c>
      <c r="O12" s="446">
        <v>2695</v>
      </c>
      <c r="P12" s="447">
        <f t="shared" si="2"/>
        <v>2633.102661596958</v>
      </c>
      <c r="Q12" s="451" t="s">
        <v>333</v>
      </c>
      <c r="R12" s="450"/>
    </row>
    <row r="13" spans="2:18" s="449" customFormat="1" ht="19.5" customHeight="1">
      <c r="B13" s="444" t="s">
        <v>37</v>
      </c>
      <c r="C13" s="445">
        <v>859</v>
      </c>
      <c r="D13" s="446">
        <f t="shared" si="0"/>
        <v>578</v>
      </c>
      <c r="E13" s="446">
        <v>281</v>
      </c>
      <c r="F13" s="447">
        <v>7617</v>
      </c>
      <c r="G13" s="447">
        <v>251</v>
      </c>
      <c r="H13" s="447">
        <v>266</v>
      </c>
      <c r="I13" s="447">
        <f t="shared" si="1"/>
        <v>8134</v>
      </c>
      <c r="J13" s="446">
        <v>61449668</v>
      </c>
      <c r="K13" s="459">
        <v>204187</v>
      </c>
      <c r="L13" s="450" t="s">
        <v>334</v>
      </c>
      <c r="M13" s="447">
        <v>7617</v>
      </c>
      <c r="N13" s="446">
        <v>71536</v>
      </c>
      <c r="O13" s="446">
        <v>8067</v>
      </c>
      <c r="P13" s="447">
        <f t="shared" si="2"/>
        <v>7554.667814113597</v>
      </c>
      <c r="Q13" s="451" t="s">
        <v>334</v>
      </c>
      <c r="R13" s="450"/>
    </row>
    <row r="14" spans="2:18" s="449" customFormat="1" ht="19.5" customHeight="1">
      <c r="B14" s="444" t="s">
        <v>325</v>
      </c>
      <c r="C14" s="445">
        <v>798</v>
      </c>
      <c r="D14" s="446">
        <f t="shared" si="0"/>
        <v>638</v>
      </c>
      <c r="E14" s="446">
        <v>160</v>
      </c>
      <c r="F14" s="447">
        <v>5391</v>
      </c>
      <c r="G14" s="447">
        <v>116</v>
      </c>
      <c r="H14" s="447">
        <v>170</v>
      </c>
      <c r="I14" s="447">
        <f t="shared" si="1"/>
        <v>5677</v>
      </c>
      <c r="J14" s="446">
        <v>31978394</v>
      </c>
      <c r="K14" s="459">
        <v>502179</v>
      </c>
      <c r="L14" s="450" t="s">
        <v>331</v>
      </c>
      <c r="M14" s="447">
        <v>5391</v>
      </c>
      <c r="N14" s="446">
        <v>40073</v>
      </c>
      <c r="O14" s="446">
        <v>5932</v>
      </c>
      <c r="P14" s="447">
        <f t="shared" si="2"/>
        <v>5632.974106041924</v>
      </c>
      <c r="Q14" s="451" t="s">
        <v>331</v>
      </c>
      <c r="R14" s="450"/>
    </row>
    <row r="15" spans="2:18" s="449" customFormat="1" ht="19.5" customHeight="1">
      <c r="B15" s="444" t="s">
        <v>40</v>
      </c>
      <c r="C15" s="445">
        <v>734</v>
      </c>
      <c r="D15" s="446">
        <f t="shared" si="0"/>
        <v>675</v>
      </c>
      <c r="E15" s="446">
        <v>59</v>
      </c>
      <c r="F15" s="447">
        <v>5518</v>
      </c>
      <c r="G15" s="447">
        <v>55</v>
      </c>
      <c r="H15" s="447">
        <v>158</v>
      </c>
      <c r="I15" s="447">
        <f t="shared" si="1"/>
        <v>5731</v>
      </c>
      <c r="J15" s="446">
        <v>26440948</v>
      </c>
      <c r="K15" s="459">
        <v>1565889</v>
      </c>
      <c r="L15" s="450" t="s">
        <v>335</v>
      </c>
      <c r="M15" s="447">
        <v>5518</v>
      </c>
      <c r="N15" s="446">
        <v>36023</v>
      </c>
      <c r="O15" s="446">
        <v>4792</v>
      </c>
      <c r="P15" s="447">
        <f t="shared" si="2"/>
        <v>4613.670912580701</v>
      </c>
      <c r="Q15" s="451" t="s">
        <v>335</v>
      </c>
      <c r="R15" s="450"/>
    </row>
    <row r="16" spans="2:18" s="449" customFormat="1" ht="19.5" customHeight="1">
      <c r="B16" s="444" t="s">
        <v>41</v>
      </c>
      <c r="C16" s="445">
        <v>568</v>
      </c>
      <c r="D16" s="446">
        <f t="shared" si="0"/>
        <v>404</v>
      </c>
      <c r="E16" s="446">
        <v>164</v>
      </c>
      <c r="F16" s="447">
        <v>4025</v>
      </c>
      <c r="G16" s="447">
        <v>125</v>
      </c>
      <c r="H16" s="447">
        <v>133</v>
      </c>
      <c r="I16" s="447">
        <f t="shared" si="1"/>
        <v>4283</v>
      </c>
      <c r="J16" s="446">
        <v>22271261</v>
      </c>
      <c r="K16" s="459">
        <v>136970</v>
      </c>
      <c r="L16" s="450" t="s">
        <v>336</v>
      </c>
      <c r="M16" s="447">
        <v>4025</v>
      </c>
      <c r="N16" s="446">
        <v>39210</v>
      </c>
      <c r="O16" s="446">
        <v>5533</v>
      </c>
      <c r="P16" s="447">
        <f t="shared" si="2"/>
        <v>5199.920849871585</v>
      </c>
      <c r="Q16" s="451" t="s">
        <v>336</v>
      </c>
      <c r="R16" s="450"/>
    </row>
    <row r="17" spans="2:18" s="449" customFormat="1" ht="19.5" customHeight="1">
      <c r="B17" s="444"/>
      <c r="C17" s="445"/>
      <c r="D17" s="446"/>
      <c r="E17" s="446"/>
      <c r="F17" s="447"/>
      <c r="G17" s="447"/>
      <c r="H17" s="447"/>
      <c r="I17" s="447"/>
      <c r="J17" s="446"/>
      <c r="K17" s="459"/>
      <c r="L17" s="452"/>
      <c r="M17" s="447"/>
      <c r="N17" s="446"/>
      <c r="O17" s="446"/>
      <c r="P17" s="447"/>
      <c r="Q17" s="448"/>
      <c r="R17" s="446"/>
    </row>
    <row r="18" spans="2:18" s="442" customFormat="1" ht="19.5" customHeight="1">
      <c r="B18" s="146" t="s">
        <v>43</v>
      </c>
      <c r="C18" s="147">
        <v>14463</v>
      </c>
      <c r="D18" s="98">
        <f>C18-E18</f>
        <v>5756</v>
      </c>
      <c r="E18" s="98">
        <v>8707</v>
      </c>
      <c r="F18" s="226">
        <f>SUM(F20:F25)</f>
        <v>75464</v>
      </c>
      <c r="G18" s="226">
        <f>SUM(G20:G25)</f>
        <v>3259</v>
      </c>
      <c r="H18" s="226">
        <f>SUM(H20:H25)</f>
        <v>1312</v>
      </c>
      <c r="I18" s="226">
        <f>SUM(F18:H18)</f>
        <v>80035</v>
      </c>
      <c r="J18" s="98">
        <f>SUM(J20:J25)</f>
        <v>117321019</v>
      </c>
      <c r="K18" s="458">
        <f>SUM(K20:K25)</f>
        <v>3735430</v>
      </c>
      <c r="L18" s="98">
        <f>SUM(L20:L25)</f>
        <v>1552928</v>
      </c>
      <c r="M18" s="226">
        <f>SUM(M20:M25)</f>
        <v>75464</v>
      </c>
      <c r="N18" s="98">
        <v>8112</v>
      </c>
      <c r="O18" s="98">
        <v>1555</v>
      </c>
      <c r="P18" s="226">
        <f>J18/I18*1</f>
        <v>1465.871418754295</v>
      </c>
      <c r="Q18" s="148">
        <v>76</v>
      </c>
      <c r="R18" s="98"/>
    </row>
    <row r="19" spans="2:18" s="449" customFormat="1" ht="19.5" customHeight="1">
      <c r="B19" s="444"/>
      <c r="C19" s="445"/>
      <c r="D19" s="446"/>
      <c r="E19" s="446"/>
      <c r="F19" s="447"/>
      <c r="G19" s="447"/>
      <c r="H19" s="447"/>
      <c r="I19" s="447"/>
      <c r="J19" s="446"/>
      <c r="K19" s="459"/>
      <c r="L19" s="446"/>
      <c r="M19" s="447"/>
      <c r="N19" s="446"/>
      <c r="O19" s="446"/>
      <c r="P19" s="447"/>
      <c r="Q19" s="448"/>
      <c r="R19" s="446"/>
    </row>
    <row r="20" spans="2:18" s="449" customFormat="1" ht="19.5" customHeight="1">
      <c r="B20" s="444" t="s">
        <v>44</v>
      </c>
      <c r="C20" s="445">
        <v>53</v>
      </c>
      <c r="D20" s="446">
        <f aca="true" t="shared" si="3" ref="D20:D25">C20-E20</f>
        <v>44</v>
      </c>
      <c r="E20" s="446">
        <v>9</v>
      </c>
      <c r="F20" s="447">
        <v>4406</v>
      </c>
      <c r="G20" s="447">
        <v>44</v>
      </c>
      <c r="H20" s="447">
        <v>435</v>
      </c>
      <c r="I20" s="447">
        <f aca="true" t="shared" si="4" ref="I20:I25">SUM(F20:H20)</f>
        <v>4885</v>
      </c>
      <c r="J20" s="446">
        <v>8530307</v>
      </c>
      <c r="K20" s="459">
        <v>47114</v>
      </c>
      <c r="L20" s="446">
        <v>186535</v>
      </c>
      <c r="M20" s="447">
        <v>4406</v>
      </c>
      <c r="N20" s="446">
        <v>160949</v>
      </c>
      <c r="O20" s="446">
        <v>1936</v>
      </c>
      <c r="P20" s="447">
        <f aca="true" t="shared" si="5" ref="P20:P25">J20/I20</f>
        <v>1746.2245649948823</v>
      </c>
      <c r="Q20" s="448">
        <v>46</v>
      </c>
      <c r="R20" s="446"/>
    </row>
    <row r="21" spans="2:18" s="449" customFormat="1" ht="19.5" customHeight="1">
      <c r="B21" s="453" t="s">
        <v>337</v>
      </c>
      <c r="C21" s="445">
        <v>1824</v>
      </c>
      <c r="D21" s="446">
        <f t="shared" si="3"/>
        <v>884</v>
      </c>
      <c r="E21" s="446">
        <v>940</v>
      </c>
      <c r="F21" s="447">
        <v>6079</v>
      </c>
      <c r="G21" s="447">
        <v>194</v>
      </c>
      <c r="H21" s="447">
        <v>54</v>
      </c>
      <c r="I21" s="447">
        <f t="shared" si="4"/>
        <v>6327</v>
      </c>
      <c r="J21" s="446">
        <v>7840073</v>
      </c>
      <c r="K21" s="459">
        <v>68881</v>
      </c>
      <c r="L21" s="446">
        <v>224881</v>
      </c>
      <c r="M21" s="447">
        <v>6079</v>
      </c>
      <c r="N21" s="446">
        <v>4298</v>
      </c>
      <c r="O21" s="446">
        <v>1290</v>
      </c>
      <c r="P21" s="447">
        <f t="shared" si="5"/>
        <v>1239.1454085664611</v>
      </c>
      <c r="Q21" s="448">
        <v>35</v>
      </c>
      <c r="R21" s="446"/>
    </row>
    <row r="22" spans="2:18" s="449" customFormat="1" ht="19.5" customHeight="1">
      <c r="B22" s="444" t="s">
        <v>45</v>
      </c>
      <c r="C22" s="445">
        <v>5833</v>
      </c>
      <c r="D22" s="446">
        <f t="shared" si="3"/>
        <v>1504</v>
      </c>
      <c r="E22" s="446">
        <v>4329</v>
      </c>
      <c r="F22" s="447">
        <v>29515</v>
      </c>
      <c r="G22" s="447">
        <v>1191</v>
      </c>
      <c r="H22" s="447">
        <v>299</v>
      </c>
      <c r="I22" s="447">
        <f t="shared" si="4"/>
        <v>31005</v>
      </c>
      <c r="J22" s="446">
        <v>40743329</v>
      </c>
      <c r="K22" s="459">
        <v>440008</v>
      </c>
      <c r="L22" s="446">
        <v>519207</v>
      </c>
      <c r="M22" s="447">
        <v>29515</v>
      </c>
      <c r="N22" s="446">
        <v>6985</v>
      </c>
      <c r="O22" s="446">
        <v>1380</v>
      </c>
      <c r="P22" s="447">
        <f t="shared" si="5"/>
        <v>1314.0889856474762</v>
      </c>
      <c r="Q22" s="448">
        <v>78</v>
      </c>
      <c r="R22" s="446"/>
    </row>
    <row r="23" spans="2:18" s="449" customFormat="1" ht="19.5" customHeight="1">
      <c r="B23" s="444" t="s">
        <v>46</v>
      </c>
      <c r="C23" s="445">
        <v>955</v>
      </c>
      <c r="D23" s="446">
        <f t="shared" si="3"/>
        <v>521</v>
      </c>
      <c r="E23" s="446">
        <v>434</v>
      </c>
      <c r="F23" s="447">
        <v>5557</v>
      </c>
      <c r="G23" s="447">
        <v>68</v>
      </c>
      <c r="H23" s="447">
        <v>28</v>
      </c>
      <c r="I23" s="447">
        <f t="shared" si="4"/>
        <v>5653</v>
      </c>
      <c r="J23" s="446">
        <v>13530124</v>
      </c>
      <c r="K23" s="459">
        <v>1923291</v>
      </c>
      <c r="L23" s="446">
        <v>32322</v>
      </c>
      <c r="M23" s="447">
        <v>5557</v>
      </c>
      <c r="N23" s="446">
        <v>14168</v>
      </c>
      <c r="O23" s="446">
        <v>2435</v>
      </c>
      <c r="P23" s="447">
        <f t="shared" si="5"/>
        <v>2393.44135857067</v>
      </c>
      <c r="Q23" s="448">
        <v>419</v>
      </c>
      <c r="R23" s="446"/>
    </row>
    <row r="24" spans="2:18" s="449" customFormat="1" ht="19.5" customHeight="1">
      <c r="B24" s="453" t="s">
        <v>338</v>
      </c>
      <c r="C24" s="445">
        <v>1320</v>
      </c>
      <c r="D24" s="446">
        <f t="shared" si="3"/>
        <v>457</v>
      </c>
      <c r="E24" s="446">
        <v>863</v>
      </c>
      <c r="F24" s="447">
        <v>5017</v>
      </c>
      <c r="G24" s="447">
        <v>206</v>
      </c>
      <c r="H24" s="447">
        <v>49</v>
      </c>
      <c r="I24" s="447">
        <f t="shared" si="4"/>
        <v>5272</v>
      </c>
      <c r="J24" s="446">
        <v>8560675</v>
      </c>
      <c r="K24" s="459">
        <v>223962</v>
      </c>
      <c r="L24" s="446">
        <v>197340</v>
      </c>
      <c r="M24" s="447">
        <v>5017</v>
      </c>
      <c r="N24" s="446">
        <v>6485</v>
      </c>
      <c r="O24" s="446">
        <v>1706</v>
      </c>
      <c r="P24" s="447">
        <f t="shared" si="5"/>
        <v>1623.8002655538694</v>
      </c>
      <c r="Q24" s="448">
        <v>43</v>
      </c>
      <c r="R24" s="446"/>
    </row>
    <row r="25" spans="2:18" s="449" customFormat="1" ht="19.5" customHeight="1">
      <c r="B25" s="444" t="s">
        <v>47</v>
      </c>
      <c r="C25" s="445">
        <v>4478</v>
      </c>
      <c r="D25" s="446">
        <f t="shared" si="3"/>
        <v>2346</v>
      </c>
      <c r="E25" s="446">
        <v>2132</v>
      </c>
      <c r="F25" s="447">
        <v>24890</v>
      </c>
      <c r="G25" s="447">
        <v>1556</v>
      </c>
      <c r="H25" s="447">
        <v>447</v>
      </c>
      <c r="I25" s="447">
        <f t="shared" si="4"/>
        <v>26893</v>
      </c>
      <c r="J25" s="446">
        <v>38116511</v>
      </c>
      <c r="K25" s="459">
        <v>1032174</v>
      </c>
      <c r="L25" s="446">
        <v>392643</v>
      </c>
      <c r="M25" s="447">
        <v>24890</v>
      </c>
      <c r="N25" s="446">
        <v>8512</v>
      </c>
      <c r="O25" s="446">
        <v>1531</v>
      </c>
      <c r="P25" s="447">
        <f t="shared" si="5"/>
        <v>1417.339493548507</v>
      </c>
      <c r="Q25" s="448">
        <v>97</v>
      </c>
      <c r="R25" s="446"/>
    </row>
    <row r="26" spans="2:18" s="22" customFormat="1" ht="19.5" customHeight="1" thickBot="1">
      <c r="B26" s="436"/>
      <c r="C26" s="437"/>
      <c r="D26" s="438"/>
      <c r="E26" s="438"/>
      <c r="F26" s="439"/>
      <c r="G26" s="439"/>
      <c r="H26" s="439"/>
      <c r="I26" s="439"/>
      <c r="J26" s="438"/>
      <c r="K26" s="438"/>
      <c r="L26" s="438"/>
      <c r="M26" s="439"/>
      <c r="N26" s="438"/>
      <c r="O26" s="438"/>
      <c r="P26" s="439"/>
      <c r="Q26" s="440"/>
      <c r="R26" s="462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mergeCells count="18">
    <mergeCell ref="B2:B5"/>
    <mergeCell ref="M2:N3"/>
    <mergeCell ref="L2:L5"/>
    <mergeCell ref="J2:J3"/>
    <mergeCell ref="J4:J5"/>
    <mergeCell ref="K2:K3"/>
    <mergeCell ref="K4:K5"/>
    <mergeCell ref="I2:I5"/>
    <mergeCell ref="F2:F5"/>
    <mergeCell ref="G2:G3"/>
    <mergeCell ref="M4:M5"/>
    <mergeCell ref="G4:G5"/>
    <mergeCell ref="H4:H5"/>
    <mergeCell ref="C2:E3"/>
    <mergeCell ref="C4:C5"/>
    <mergeCell ref="D4:D5"/>
    <mergeCell ref="E4:E5"/>
    <mergeCell ref="H2:H3"/>
  </mergeCells>
  <printOptions/>
  <pageMargins left="0.75" right="0.75" top="1" bottom="1" header="0.512" footer="0.512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44"/>
  </sheetPr>
  <dimension ref="A1:G52"/>
  <sheetViews>
    <sheetView zoomScale="75" zoomScaleNormal="75" workbookViewId="0" topLeftCell="A1">
      <selection activeCell="F1" sqref="F1"/>
    </sheetView>
  </sheetViews>
  <sheetFormatPr defaultColWidth="9.00390625" defaultRowHeight="13.5"/>
  <cols>
    <col min="1" max="1" width="24.00390625" style="0" customWidth="1"/>
    <col min="2" max="3" width="12.00390625" style="0" customWidth="1"/>
    <col min="4" max="6" width="12.00390625" style="35" customWidth="1"/>
    <col min="7" max="7" width="9.00390625" style="1" customWidth="1"/>
  </cols>
  <sheetData>
    <row r="1" spans="1:7" s="132" customFormat="1" ht="18" customHeight="1">
      <c r="A1" s="131" t="s">
        <v>152</v>
      </c>
      <c r="D1" s="133"/>
      <c r="E1" s="133"/>
      <c r="F1" s="133"/>
      <c r="G1" s="153"/>
    </row>
    <row r="2" spans="1:7" s="132" customFormat="1" ht="18" customHeight="1">
      <c r="A2" s="134" t="s">
        <v>146</v>
      </c>
      <c r="D2" s="133"/>
      <c r="E2" s="133"/>
      <c r="F2" s="133"/>
      <c r="G2" s="153"/>
    </row>
    <row r="3" spans="1:7" s="132" customFormat="1" ht="18" customHeight="1">
      <c r="A3" s="464" t="s">
        <v>357</v>
      </c>
      <c r="D3" s="133"/>
      <c r="E3" s="133"/>
      <c r="F3" s="133"/>
      <c r="G3" s="153"/>
    </row>
    <row r="4" spans="1:7" s="132" customFormat="1" ht="18" customHeight="1">
      <c r="A4" s="464" t="s">
        <v>358</v>
      </c>
      <c r="D4" s="133"/>
      <c r="E4" s="133"/>
      <c r="F4" s="133"/>
      <c r="G4" s="153"/>
    </row>
    <row r="5" spans="1:7" s="132" customFormat="1" ht="18" customHeight="1">
      <c r="A5" s="464" t="s">
        <v>359</v>
      </c>
      <c r="D5" s="133"/>
      <c r="E5" s="133"/>
      <c r="F5" s="133"/>
      <c r="G5" s="153"/>
    </row>
    <row r="6" spans="4:7" s="162" customFormat="1" ht="17.25" customHeight="1">
      <c r="D6" s="163"/>
      <c r="E6" s="163"/>
      <c r="F6" s="163"/>
      <c r="G6" s="161"/>
    </row>
    <row r="7" spans="1:7" s="132" customFormat="1" ht="18" customHeight="1">
      <c r="A7" s="134" t="s">
        <v>147</v>
      </c>
      <c r="D7" s="133"/>
      <c r="E7" s="133"/>
      <c r="F7" s="133"/>
      <c r="G7" s="153"/>
    </row>
    <row r="8" spans="1:7" s="132" customFormat="1" ht="18" customHeight="1">
      <c r="A8" s="464" t="s">
        <v>360</v>
      </c>
      <c r="D8" s="133"/>
      <c r="E8" s="133"/>
      <c r="F8" s="133"/>
      <c r="G8" s="153"/>
    </row>
    <row r="9" spans="1:7" s="132" customFormat="1" ht="18" customHeight="1">
      <c r="A9" s="464" t="s">
        <v>361</v>
      </c>
      <c r="D9" s="133"/>
      <c r="E9" s="133"/>
      <c r="F9" s="133"/>
      <c r="G9" s="153"/>
    </row>
    <row r="10" spans="1:7" s="132" customFormat="1" ht="18" customHeight="1">
      <c r="A10" s="464" t="s">
        <v>154</v>
      </c>
      <c r="D10" s="133"/>
      <c r="E10" s="133"/>
      <c r="F10" s="133"/>
      <c r="G10" s="153"/>
    </row>
    <row r="11" spans="4:7" s="132" customFormat="1" ht="17.25" customHeight="1">
      <c r="D11" s="133"/>
      <c r="E11" s="133"/>
      <c r="F11" s="133"/>
      <c r="G11" s="153"/>
    </row>
    <row r="12" spans="1:7" s="132" customFormat="1" ht="18" customHeight="1">
      <c r="A12" s="134" t="s">
        <v>148</v>
      </c>
      <c r="D12" s="133"/>
      <c r="E12" s="133"/>
      <c r="F12" s="133"/>
      <c r="G12" s="153"/>
    </row>
    <row r="13" spans="1:7" s="132" customFormat="1" ht="18" customHeight="1">
      <c r="A13" s="464" t="s">
        <v>362</v>
      </c>
      <c r="D13" s="133"/>
      <c r="E13" s="133"/>
      <c r="F13" s="133"/>
      <c r="G13" s="153"/>
    </row>
    <row r="14" spans="1:7" s="132" customFormat="1" ht="18" customHeight="1">
      <c r="A14" s="464" t="s">
        <v>363</v>
      </c>
      <c r="D14" s="133"/>
      <c r="E14" s="133"/>
      <c r="F14" s="133"/>
      <c r="G14" s="153"/>
    </row>
    <row r="15" spans="4:7" s="132" customFormat="1" ht="17.25" customHeight="1">
      <c r="D15" s="133"/>
      <c r="E15" s="133"/>
      <c r="F15" s="133"/>
      <c r="G15" s="153"/>
    </row>
    <row r="16" spans="1:2" ht="18" customHeight="1" thickBot="1">
      <c r="A16" s="580" t="s">
        <v>155</v>
      </c>
      <c r="B16" s="580"/>
    </row>
    <row r="17" spans="1:6" ht="14.25" thickBot="1">
      <c r="A17" s="2"/>
      <c r="B17" s="600" t="s">
        <v>16</v>
      </c>
      <c r="C17" s="601"/>
      <c r="D17" s="31" t="s">
        <v>59</v>
      </c>
      <c r="E17" s="578" t="s">
        <v>31</v>
      </c>
      <c r="F17" s="579"/>
    </row>
    <row r="18" spans="1:6" ht="14.25" thickBot="1">
      <c r="A18" s="13" t="s">
        <v>50</v>
      </c>
      <c r="B18" s="6" t="s">
        <v>48</v>
      </c>
      <c r="C18" s="6" t="s">
        <v>49</v>
      </c>
      <c r="D18" s="31" t="s">
        <v>64</v>
      </c>
      <c r="E18" s="6" t="s">
        <v>48</v>
      </c>
      <c r="F18" s="15" t="s">
        <v>49</v>
      </c>
    </row>
    <row r="19" spans="1:7" s="162" customFormat="1" ht="12">
      <c r="A19" s="155"/>
      <c r="B19" s="156" t="s">
        <v>32</v>
      </c>
      <c r="C19" s="157" t="s">
        <v>32</v>
      </c>
      <c r="D19" s="158" t="s">
        <v>156</v>
      </c>
      <c r="E19" s="159" t="s">
        <v>156</v>
      </c>
      <c r="F19" s="160" t="s">
        <v>156</v>
      </c>
      <c r="G19" s="161"/>
    </row>
    <row r="20" spans="1:7" s="152" customFormat="1" ht="13.5">
      <c r="A20" s="146" t="s">
        <v>33</v>
      </c>
      <c r="B20" s="147">
        <f>SUM(B22:B29)</f>
        <v>18047</v>
      </c>
      <c r="C20" s="148">
        <v>17522</v>
      </c>
      <c r="D20" s="149">
        <f>(C20/B20-1)*100</f>
        <v>-2.9090707596830523</v>
      </c>
      <c r="E20" s="150">
        <v>100</v>
      </c>
      <c r="F20" s="151">
        <v>100</v>
      </c>
      <c r="G20" s="98"/>
    </row>
    <row r="21" spans="1:7" s="139" customFormat="1" ht="13.5">
      <c r="A21" s="135"/>
      <c r="B21" s="136"/>
      <c r="C21" s="115"/>
      <c r="D21" s="116"/>
      <c r="E21" s="117"/>
      <c r="F21" s="118"/>
      <c r="G21" s="154"/>
    </row>
    <row r="22" spans="1:7" s="139" customFormat="1" ht="13.5">
      <c r="A22" s="135" t="s">
        <v>51</v>
      </c>
      <c r="B22" s="136">
        <v>8713</v>
      </c>
      <c r="C22" s="115">
        <v>7918</v>
      </c>
      <c r="D22" s="116">
        <f aca="true" t="shared" si="0" ref="D22:D29">(C22/B22-1)*100</f>
        <v>-9.124297027430273</v>
      </c>
      <c r="E22" s="117">
        <f>B22/18047*100</f>
        <v>48.27949243641603</v>
      </c>
      <c r="F22" s="118">
        <f>C22/17522*100</f>
        <v>45.18890537609862</v>
      </c>
      <c r="G22" s="154"/>
    </row>
    <row r="23" spans="1:7" s="139" customFormat="1" ht="13.5">
      <c r="A23" s="135" t="s">
        <v>52</v>
      </c>
      <c r="B23" s="136">
        <v>3940</v>
      </c>
      <c r="C23" s="115">
        <v>3978</v>
      </c>
      <c r="D23" s="116">
        <f t="shared" si="0"/>
        <v>0.9644670050761528</v>
      </c>
      <c r="E23" s="117">
        <f aca="true" t="shared" si="1" ref="E23:E29">B23/18047*100</f>
        <v>21.831883415526125</v>
      </c>
      <c r="F23" s="118">
        <f aca="true" t="shared" si="2" ref="F23:F28">C23/17522*100</f>
        <v>22.702887798196553</v>
      </c>
      <c r="G23" s="154"/>
    </row>
    <row r="24" spans="1:7" s="139" customFormat="1" ht="13.5">
      <c r="A24" s="135" t="s">
        <v>53</v>
      </c>
      <c r="B24" s="136">
        <v>3167</v>
      </c>
      <c r="C24" s="115">
        <v>3316</v>
      </c>
      <c r="D24" s="116">
        <f t="shared" si="0"/>
        <v>4.704767919166408</v>
      </c>
      <c r="E24" s="117">
        <f t="shared" si="1"/>
        <v>17.548623039840415</v>
      </c>
      <c r="F24" s="118">
        <f t="shared" si="2"/>
        <v>18.924780276224176</v>
      </c>
      <c r="G24" s="154"/>
    </row>
    <row r="25" spans="1:7" s="139" customFormat="1" ht="13.5">
      <c r="A25" s="135" t="s">
        <v>54</v>
      </c>
      <c r="B25" s="136">
        <v>1440</v>
      </c>
      <c r="C25" s="115">
        <v>1504</v>
      </c>
      <c r="D25" s="116">
        <f t="shared" si="0"/>
        <v>4.444444444444451</v>
      </c>
      <c r="E25" s="117">
        <f t="shared" si="1"/>
        <v>7.979165512273507</v>
      </c>
      <c r="F25" s="118">
        <f t="shared" si="2"/>
        <v>8.583495034813378</v>
      </c>
      <c r="G25" s="154"/>
    </row>
    <row r="26" spans="1:7" s="139" customFormat="1" ht="13.5">
      <c r="A26" s="135" t="s">
        <v>55</v>
      </c>
      <c r="B26" s="136">
        <v>374</v>
      </c>
      <c r="C26" s="115">
        <v>367</v>
      </c>
      <c r="D26" s="116">
        <f t="shared" si="0"/>
        <v>-1.8716577540106916</v>
      </c>
      <c r="E26" s="117">
        <f t="shared" si="1"/>
        <v>2.0723665983265915</v>
      </c>
      <c r="F26" s="118">
        <f t="shared" si="2"/>
        <v>2.0945097591599136</v>
      </c>
      <c r="G26" s="154"/>
    </row>
    <row r="27" spans="1:7" s="139" customFormat="1" ht="13.5">
      <c r="A27" s="135" t="s">
        <v>56</v>
      </c>
      <c r="B27" s="136">
        <v>244</v>
      </c>
      <c r="C27" s="115">
        <v>269</v>
      </c>
      <c r="D27" s="116">
        <f t="shared" si="0"/>
        <v>10.245901639344268</v>
      </c>
      <c r="E27" s="117">
        <f t="shared" si="1"/>
        <v>1.3520252673574555</v>
      </c>
      <c r="F27" s="118">
        <f t="shared" si="2"/>
        <v>1.5352128752425522</v>
      </c>
      <c r="G27" s="154"/>
    </row>
    <row r="28" spans="1:7" s="139" customFormat="1" ht="13.5">
      <c r="A28" s="135" t="s">
        <v>57</v>
      </c>
      <c r="B28" s="136">
        <v>132</v>
      </c>
      <c r="C28" s="115">
        <v>129</v>
      </c>
      <c r="D28" s="116">
        <f t="shared" si="0"/>
        <v>-2.2727272727272707</v>
      </c>
      <c r="E28" s="117">
        <f t="shared" si="1"/>
        <v>0.7314235052917383</v>
      </c>
      <c r="F28" s="118">
        <f t="shared" si="2"/>
        <v>0.7362173267891794</v>
      </c>
      <c r="G28" s="154"/>
    </row>
    <row r="29" spans="1:7" s="139" customFormat="1" ht="13.5">
      <c r="A29" s="135" t="s">
        <v>58</v>
      </c>
      <c r="B29" s="136">
        <v>37</v>
      </c>
      <c r="C29" s="115">
        <v>41</v>
      </c>
      <c r="D29" s="116">
        <f t="shared" si="0"/>
        <v>10.81081081081081</v>
      </c>
      <c r="E29" s="117">
        <f t="shared" si="1"/>
        <v>0.20502022496813876</v>
      </c>
      <c r="F29" s="118">
        <f>C29/17522*100</f>
        <v>0.2339915534756306</v>
      </c>
      <c r="G29" s="154"/>
    </row>
    <row r="30" spans="1:7" s="139" customFormat="1" ht="13.5">
      <c r="A30" s="135"/>
      <c r="B30" s="136"/>
      <c r="C30" s="115"/>
      <c r="D30" s="116"/>
      <c r="E30" s="117"/>
      <c r="F30" s="118"/>
      <c r="G30" s="154"/>
    </row>
    <row r="31" spans="1:7" s="152" customFormat="1" ht="13.5">
      <c r="A31" s="146" t="s">
        <v>94</v>
      </c>
      <c r="B31" s="147">
        <f>SUM(B33:B40)</f>
        <v>3052</v>
      </c>
      <c r="C31" s="148">
        <v>3059</v>
      </c>
      <c r="D31" s="149">
        <f>(C31/B31-1)*100</f>
        <v>0.2293577981651307</v>
      </c>
      <c r="E31" s="150">
        <v>100</v>
      </c>
      <c r="F31" s="151">
        <v>100</v>
      </c>
      <c r="G31" s="98"/>
    </row>
    <row r="32" spans="1:7" s="139" customFormat="1" ht="13.5">
      <c r="A32" s="135"/>
      <c r="B32" s="136"/>
      <c r="C32" s="115"/>
      <c r="D32" s="116"/>
      <c r="E32" s="117"/>
      <c r="F32" s="118"/>
      <c r="G32" s="154"/>
    </row>
    <row r="33" spans="1:7" s="139" customFormat="1" ht="13.5">
      <c r="A33" s="135" t="s">
        <v>51</v>
      </c>
      <c r="B33" s="136">
        <v>758</v>
      </c>
      <c r="C33" s="115">
        <f aca="true" t="shared" si="3" ref="C33:C40">C22-C44</f>
        <v>747</v>
      </c>
      <c r="D33" s="116">
        <f>(C33/B33-1)*100</f>
        <v>-1.451187335092352</v>
      </c>
      <c r="E33" s="117">
        <f>B33/3052*100</f>
        <v>24.836173001310616</v>
      </c>
      <c r="F33" s="118">
        <f>C33/3059*100</f>
        <v>24.41974501471069</v>
      </c>
      <c r="G33" s="154"/>
    </row>
    <row r="34" spans="1:7" s="139" customFormat="1" ht="13.5">
      <c r="A34" s="135" t="s">
        <v>52</v>
      </c>
      <c r="B34" s="136">
        <v>741</v>
      </c>
      <c r="C34" s="115">
        <f t="shared" si="3"/>
        <v>743</v>
      </c>
      <c r="D34" s="116">
        <f aca="true" t="shared" si="4" ref="D34:D40">(C34/B34-1)*100</f>
        <v>0.26990553306343035</v>
      </c>
      <c r="E34" s="117">
        <f aca="true" t="shared" si="5" ref="E34:E40">B34/3052*100</f>
        <v>24.279161205766712</v>
      </c>
      <c r="F34" s="118">
        <f aca="true" t="shared" si="6" ref="F34:F40">C34/3059*100</f>
        <v>24.28898332788493</v>
      </c>
      <c r="G34" s="154"/>
    </row>
    <row r="35" spans="1:7" s="139" customFormat="1" ht="13.5">
      <c r="A35" s="135" t="s">
        <v>53</v>
      </c>
      <c r="B35" s="136">
        <v>838</v>
      </c>
      <c r="C35" s="115">
        <f t="shared" si="3"/>
        <v>883</v>
      </c>
      <c r="D35" s="116">
        <f t="shared" si="4"/>
        <v>5.369928400954649</v>
      </c>
      <c r="E35" s="117">
        <f t="shared" si="5"/>
        <v>27.457404980340762</v>
      </c>
      <c r="F35" s="118">
        <f t="shared" si="6"/>
        <v>28.86564236678653</v>
      </c>
      <c r="G35" s="154"/>
    </row>
    <row r="36" spans="1:7" s="139" customFormat="1" ht="13.5">
      <c r="A36" s="135" t="s">
        <v>54</v>
      </c>
      <c r="B36" s="136">
        <v>447</v>
      </c>
      <c r="C36" s="115">
        <f t="shared" si="3"/>
        <v>442</v>
      </c>
      <c r="D36" s="116">
        <f t="shared" si="4"/>
        <v>-1.118568232662187</v>
      </c>
      <c r="E36" s="117">
        <f t="shared" si="5"/>
        <v>14.64613368283093</v>
      </c>
      <c r="F36" s="118">
        <f t="shared" si="6"/>
        <v>14.449166394246484</v>
      </c>
      <c r="G36" s="154"/>
    </row>
    <row r="37" spans="1:7" s="139" customFormat="1" ht="13.5">
      <c r="A37" s="135" t="s">
        <v>55</v>
      </c>
      <c r="B37" s="136">
        <v>145</v>
      </c>
      <c r="C37" s="115">
        <f t="shared" si="3"/>
        <v>135</v>
      </c>
      <c r="D37" s="116">
        <f t="shared" si="4"/>
        <v>-6.896551724137934</v>
      </c>
      <c r="E37" s="117">
        <f t="shared" si="5"/>
        <v>4.750982961992136</v>
      </c>
      <c r="F37" s="118">
        <f t="shared" si="6"/>
        <v>4.413206930369402</v>
      </c>
      <c r="G37" s="154"/>
    </row>
    <row r="38" spans="1:7" s="139" customFormat="1" ht="13.5">
      <c r="A38" s="135" t="s">
        <v>56</v>
      </c>
      <c r="B38" s="136">
        <v>77</v>
      </c>
      <c r="C38" s="115">
        <f t="shared" si="3"/>
        <v>81</v>
      </c>
      <c r="D38" s="116">
        <f t="shared" si="4"/>
        <v>5.1948051948051965</v>
      </c>
      <c r="E38" s="117">
        <f t="shared" si="5"/>
        <v>2.522935779816514</v>
      </c>
      <c r="F38" s="118">
        <f t="shared" si="6"/>
        <v>2.6479241582216413</v>
      </c>
      <c r="G38" s="154"/>
    </row>
    <row r="39" spans="1:7" s="139" customFormat="1" ht="13.5">
      <c r="A39" s="135" t="s">
        <v>57</v>
      </c>
      <c r="B39" s="136">
        <v>42</v>
      </c>
      <c r="C39" s="115">
        <f t="shared" si="3"/>
        <v>25</v>
      </c>
      <c r="D39" s="116">
        <f t="shared" si="4"/>
        <v>-40.476190476190474</v>
      </c>
      <c r="E39" s="117">
        <f t="shared" si="5"/>
        <v>1.3761467889908259</v>
      </c>
      <c r="F39" s="118">
        <f t="shared" si="6"/>
        <v>0.8172605426610003</v>
      </c>
      <c r="G39" s="154"/>
    </row>
    <row r="40" spans="1:7" s="139" customFormat="1" ht="13.5">
      <c r="A40" s="135" t="s">
        <v>58</v>
      </c>
      <c r="B40" s="136">
        <v>4</v>
      </c>
      <c r="C40" s="115">
        <f t="shared" si="3"/>
        <v>3</v>
      </c>
      <c r="D40" s="116">
        <f t="shared" si="4"/>
        <v>-25</v>
      </c>
      <c r="E40" s="117">
        <f t="shared" si="5"/>
        <v>0.1310615989515072</v>
      </c>
      <c r="F40" s="118">
        <f t="shared" si="6"/>
        <v>0.09807126511932004</v>
      </c>
      <c r="G40" s="154"/>
    </row>
    <row r="41" spans="1:7" s="139" customFormat="1" ht="13.5">
      <c r="A41" s="135"/>
      <c r="B41" s="136"/>
      <c r="C41" s="115"/>
      <c r="D41" s="116"/>
      <c r="E41" s="117"/>
      <c r="F41" s="118"/>
      <c r="G41" s="154"/>
    </row>
    <row r="42" spans="1:7" s="152" customFormat="1" ht="13.5">
      <c r="A42" s="146" t="s">
        <v>43</v>
      </c>
      <c r="B42" s="147">
        <f>SUM(B44:B51)</f>
        <v>14995</v>
      </c>
      <c r="C42" s="148">
        <v>14463</v>
      </c>
      <c r="D42" s="149">
        <f>(C42/B42-1)*100</f>
        <v>-3.547849283094362</v>
      </c>
      <c r="E42" s="150">
        <v>100</v>
      </c>
      <c r="F42" s="151">
        <v>100</v>
      </c>
      <c r="G42" s="98"/>
    </row>
    <row r="43" spans="1:7" s="139" customFormat="1" ht="13.5">
      <c r="A43" s="135"/>
      <c r="B43" s="136"/>
      <c r="C43" s="115"/>
      <c r="D43" s="116"/>
      <c r="E43" s="117"/>
      <c r="F43" s="118"/>
      <c r="G43" s="154"/>
    </row>
    <row r="44" spans="1:7" s="139" customFormat="1" ht="13.5">
      <c r="A44" s="135" t="s">
        <v>51</v>
      </c>
      <c r="B44" s="136">
        <v>7955</v>
      </c>
      <c r="C44" s="115">
        <v>7171</v>
      </c>
      <c r="D44" s="116">
        <f aca="true" t="shared" si="7" ref="D44:D51">(C44/B44-1)*100</f>
        <v>-9.85543683218102</v>
      </c>
      <c r="E44" s="117">
        <f>B44/14992*100</f>
        <v>53.061632870864464</v>
      </c>
      <c r="F44" s="118">
        <f>C44/14463*100</f>
        <v>49.58169121205835</v>
      </c>
      <c r="G44" s="154"/>
    </row>
    <row r="45" spans="1:7" s="139" customFormat="1" ht="13.5">
      <c r="A45" s="135" t="s">
        <v>52</v>
      </c>
      <c r="B45" s="136">
        <v>3199</v>
      </c>
      <c r="C45" s="115">
        <v>3235</v>
      </c>
      <c r="D45" s="116">
        <f t="shared" si="7"/>
        <v>1.1253516723976231</v>
      </c>
      <c r="E45" s="117">
        <f aca="true" t="shared" si="8" ref="E45:E51">B45/14992*100</f>
        <v>21.338046958377802</v>
      </c>
      <c r="F45" s="118">
        <f aca="true" t="shared" si="9" ref="F45:F51">C45/14463*100</f>
        <v>22.367420313904447</v>
      </c>
      <c r="G45" s="154"/>
    </row>
    <row r="46" spans="1:7" s="139" customFormat="1" ht="13.5">
      <c r="A46" s="135" t="s">
        <v>53</v>
      </c>
      <c r="B46" s="136">
        <v>2329</v>
      </c>
      <c r="C46" s="115">
        <v>2433</v>
      </c>
      <c r="D46" s="116">
        <f t="shared" si="7"/>
        <v>4.46543580936023</v>
      </c>
      <c r="E46" s="117">
        <f t="shared" si="8"/>
        <v>15.53495197438634</v>
      </c>
      <c r="F46" s="118">
        <f t="shared" si="9"/>
        <v>16.822236050611906</v>
      </c>
      <c r="G46" s="154"/>
    </row>
    <row r="47" spans="1:7" s="139" customFormat="1" ht="13.5">
      <c r="A47" s="135" t="s">
        <v>54</v>
      </c>
      <c r="B47" s="136">
        <v>993</v>
      </c>
      <c r="C47" s="115">
        <v>1062</v>
      </c>
      <c r="D47" s="116">
        <f t="shared" si="7"/>
        <v>6.9486404833836835</v>
      </c>
      <c r="E47" s="117">
        <f t="shared" si="8"/>
        <v>6.623532550693703</v>
      </c>
      <c r="F47" s="118">
        <f t="shared" si="9"/>
        <v>7.342874922215308</v>
      </c>
      <c r="G47" s="154"/>
    </row>
    <row r="48" spans="1:7" s="139" customFormat="1" ht="13.5">
      <c r="A48" s="135" t="s">
        <v>55</v>
      </c>
      <c r="B48" s="136">
        <v>229</v>
      </c>
      <c r="C48" s="115">
        <v>232</v>
      </c>
      <c r="D48" s="116">
        <f t="shared" si="7"/>
        <v>1.3100436681222627</v>
      </c>
      <c r="E48" s="117">
        <f t="shared" si="8"/>
        <v>1.5274813233724653</v>
      </c>
      <c r="F48" s="118">
        <f t="shared" si="9"/>
        <v>1.6040932033464703</v>
      </c>
      <c r="G48" s="154"/>
    </row>
    <row r="49" spans="1:7" s="139" customFormat="1" ht="13.5">
      <c r="A49" s="135" t="s">
        <v>56</v>
      </c>
      <c r="B49" s="136">
        <v>167</v>
      </c>
      <c r="C49" s="115">
        <v>188</v>
      </c>
      <c r="D49" s="116">
        <f t="shared" si="7"/>
        <v>12.574850299401197</v>
      </c>
      <c r="E49" s="117">
        <f t="shared" si="8"/>
        <v>1.1139274279615796</v>
      </c>
      <c r="F49" s="118">
        <f t="shared" si="9"/>
        <v>1.2998686302980018</v>
      </c>
      <c r="G49" s="154"/>
    </row>
    <row r="50" spans="1:7" s="139" customFormat="1" ht="13.5">
      <c r="A50" s="135" t="s">
        <v>57</v>
      </c>
      <c r="B50" s="136">
        <v>90</v>
      </c>
      <c r="C50" s="115">
        <v>104</v>
      </c>
      <c r="D50" s="116">
        <f t="shared" si="7"/>
        <v>15.555555555555545</v>
      </c>
      <c r="E50" s="117">
        <f t="shared" si="8"/>
        <v>0.6003201707577375</v>
      </c>
      <c r="F50" s="118">
        <f t="shared" si="9"/>
        <v>0.7190762635691074</v>
      </c>
      <c r="G50" s="154"/>
    </row>
    <row r="51" spans="1:7" s="139" customFormat="1" ht="13.5">
      <c r="A51" s="135" t="s">
        <v>58</v>
      </c>
      <c r="B51" s="136">
        <v>33</v>
      </c>
      <c r="C51" s="115">
        <v>38</v>
      </c>
      <c r="D51" s="116">
        <f t="shared" si="7"/>
        <v>15.15151515151516</v>
      </c>
      <c r="E51" s="117">
        <f t="shared" si="8"/>
        <v>0.22011739594450372</v>
      </c>
      <c r="F51" s="118">
        <f t="shared" si="9"/>
        <v>0.2627394039964046</v>
      </c>
      <c r="G51" s="154"/>
    </row>
    <row r="52" spans="1:7" s="139" customFormat="1" ht="12.75" customHeight="1" thickBot="1">
      <c r="A52" s="140"/>
      <c r="B52" s="141"/>
      <c r="C52" s="142"/>
      <c r="D52" s="143"/>
      <c r="E52" s="144"/>
      <c r="F52" s="145"/>
      <c r="G52" s="154"/>
    </row>
  </sheetData>
  <mergeCells count="3">
    <mergeCell ref="B17:C17"/>
    <mergeCell ref="E17:F17"/>
    <mergeCell ref="A16:B1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43"/>
  </sheetPr>
  <dimension ref="B1:H55"/>
  <sheetViews>
    <sheetView zoomScale="75" zoomScaleNormal="75" workbookViewId="0" topLeftCell="A1">
      <selection activeCell="K23" sqref="K23"/>
    </sheetView>
  </sheetViews>
  <sheetFormatPr defaultColWidth="9.00390625" defaultRowHeight="13.5"/>
  <cols>
    <col min="1" max="1" width="3.625" style="0" customWidth="1"/>
    <col min="2" max="2" width="36.875" style="0" customWidth="1"/>
    <col min="3" max="4" width="11.625" style="61" customWidth="1"/>
    <col min="5" max="5" width="12.375" style="35" customWidth="1"/>
    <col min="6" max="7" width="9.00390625" style="35" customWidth="1"/>
    <col min="8" max="8" width="5.00390625" style="1" customWidth="1"/>
  </cols>
  <sheetData>
    <row r="1" spans="2:8" ht="18.75">
      <c r="B1" s="470" t="s">
        <v>158</v>
      </c>
      <c r="H1"/>
    </row>
    <row r="2" ht="13.5">
      <c r="H2"/>
    </row>
    <row r="3" spans="2:8" ht="18">
      <c r="B3" s="165"/>
      <c r="C3" s="166"/>
      <c r="D3" s="166"/>
      <c r="E3" s="166"/>
      <c r="F3" s="166"/>
      <c r="G3" s="169"/>
      <c r="H3"/>
    </row>
    <row r="4" spans="2:7" s="49" customFormat="1" ht="18.75">
      <c r="B4" s="602" t="s">
        <v>161</v>
      </c>
      <c r="C4" s="603"/>
      <c r="D4" s="603"/>
      <c r="E4" s="603"/>
      <c r="F4" s="603"/>
      <c r="G4" s="604"/>
    </row>
    <row r="5" spans="2:7" s="201" customFormat="1" ht="17.25">
      <c r="B5" s="605" t="s">
        <v>159</v>
      </c>
      <c r="C5" s="606"/>
      <c r="D5" s="606"/>
      <c r="E5" s="606"/>
      <c r="F5" s="606"/>
      <c r="G5" s="607"/>
    </row>
    <row r="6" spans="2:7" s="202" customFormat="1" ht="17.25">
      <c r="B6" s="605" t="s">
        <v>160</v>
      </c>
      <c r="C6" s="606"/>
      <c r="D6" s="606"/>
      <c r="E6" s="606"/>
      <c r="F6" s="606"/>
      <c r="G6" s="607"/>
    </row>
    <row r="7" spans="2:7" s="22" customFormat="1" ht="18">
      <c r="B7" s="167"/>
      <c r="C7" s="168"/>
      <c r="D7" s="168"/>
      <c r="E7" s="168"/>
      <c r="F7" s="168"/>
      <c r="G7" s="170"/>
    </row>
    <row r="8" s="22" customFormat="1" ht="13.5"/>
    <row r="9" s="199" customFormat="1" ht="14.25">
      <c r="B9" s="198" t="s">
        <v>162</v>
      </c>
    </row>
    <row r="10" s="199" customFormat="1" ht="14.25">
      <c r="B10" s="469" t="s">
        <v>174</v>
      </c>
    </row>
    <row r="11" s="22" customFormat="1" ht="13.5"/>
    <row r="12" spans="2:3" s="22" customFormat="1" ht="14.25" thickBot="1">
      <c r="B12" s="580" t="s">
        <v>157</v>
      </c>
      <c r="C12" s="580"/>
    </row>
    <row r="13" spans="2:7" s="22" customFormat="1" ht="14.25" thickBot="1">
      <c r="B13" s="2"/>
      <c r="C13" s="581" t="s">
        <v>65</v>
      </c>
      <c r="D13" s="572"/>
      <c r="E13" s="31" t="s">
        <v>59</v>
      </c>
      <c r="F13" s="578" t="s">
        <v>31</v>
      </c>
      <c r="G13" s="579"/>
    </row>
    <row r="14" spans="2:7" s="139" customFormat="1" ht="14.25" thickBot="1">
      <c r="B14" s="175" t="s">
        <v>22</v>
      </c>
      <c r="C14" s="6" t="s">
        <v>48</v>
      </c>
      <c r="D14" s="6" t="s">
        <v>49</v>
      </c>
      <c r="E14" s="176" t="s">
        <v>64</v>
      </c>
      <c r="F14" s="6" t="s">
        <v>48</v>
      </c>
      <c r="G14" s="15" t="s">
        <v>49</v>
      </c>
    </row>
    <row r="15" spans="2:7" s="172" customFormat="1" ht="12">
      <c r="B15" s="155"/>
      <c r="C15" s="173" t="s">
        <v>60</v>
      </c>
      <c r="D15" s="174" t="s">
        <v>60</v>
      </c>
      <c r="E15" s="158" t="s">
        <v>163</v>
      </c>
      <c r="F15" s="159" t="s">
        <v>163</v>
      </c>
      <c r="G15" s="160" t="s">
        <v>163</v>
      </c>
    </row>
    <row r="16" spans="2:7" s="152" customFormat="1" ht="13.5">
      <c r="B16" s="146" t="s">
        <v>33</v>
      </c>
      <c r="C16" s="185">
        <f>C18+C27</f>
        <v>100238</v>
      </c>
      <c r="D16" s="186">
        <f>D18+D27</f>
        <v>98727</v>
      </c>
      <c r="E16" s="149">
        <f>(D16/C16-1)*100</f>
        <v>-1.5074123585865684</v>
      </c>
      <c r="F16" s="150"/>
      <c r="G16" s="151"/>
    </row>
    <row r="17" spans="2:7" s="177" customFormat="1" ht="13.5">
      <c r="B17" s="178"/>
      <c r="C17" s="179"/>
      <c r="D17" s="180"/>
      <c r="E17" s="181"/>
      <c r="F17" s="182"/>
      <c r="G17" s="183"/>
    </row>
    <row r="18" spans="2:7" s="152" customFormat="1" ht="13.5">
      <c r="B18" s="146" t="s">
        <v>94</v>
      </c>
      <c r="C18" s="185">
        <f>SUM(C20:C25)</f>
        <v>25115</v>
      </c>
      <c r="D18" s="186">
        <f>SUM(D20:D25)</f>
        <v>23263</v>
      </c>
      <c r="E18" s="149">
        <f>(D18/C18-1)*100</f>
        <v>-7.3740792355166285</v>
      </c>
      <c r="F18" s="150">
        <f>C18/25115*100</f>
        <v>100</v>
      </c>
      <c r="G18" s="151">
        <f>D18/23263*100</f>
        <v>100</v>
      </c>
    </row>
    <row r="19" spans="2:7" s="177" customFormat="1" ht="13.5">
      <c r="B19" s="178"/>
      <c r="C19" s="179"/>
      <c r="D19" s="180"/>
      <c r="E19" s="181"/>
      <c r="F19" s="182"/>
      <c r="G19" s="183"/>
    </row>
    <row r="20" spans="2:7" s="177" customFormat="1" ht="13.5">
      <c r="B20" s="178" t="s">
        <v>35</v>
      </c>
      <c r="C20" s="179">
        <v>181</v>
      </c>
      <c r="D20" s="180">
        <v>198</v>
      </c>
      <c r="E20" s="181">
        <f aca="true" t="shared" si="0" ref="E20:E25">(D20/C20-1)*100</f>
        <v>9.392265193370175</v>
      </c>
      <c r="F20" s="182">
        <f aca="true" t="shared" si="1" ref="F20:F25">C20/25115*100</f>
        <v>0.7206848496914194</v>
      </c>
      <c r="G20" s="183">
        <f aca="true" t="shared" si="2" ref="G20:G25">D20/23263*100</f>
        <v>0.8511369986674117</v>
      </c>
    </row>
    <row r="21" spans="2:7" s="177" customFormat="1" ht="13.5">
      <c r="B21" s="178" t="s">
        <v>36</v>
      </c>
      <c r="C21" s="179">
        <v>558</v>
      </c>
      <c r="D21" s="180">
        <v>514</v>
      </c>
      <c r="E21" s="181">
        <f t="shared" si="0"/>
        <v>-7.885304659498205</v>
      </c>
      <c r="F21" s="182">
        <f t="shared" si="1"/>
        <v>2.22177981286084</v>
      </c>
      <c r="G21" s="183">
        <f t="shared" si="2"/>
        <v>2.2095172591669177</v>
      </c>
    </row>
    <row r="22" spans="2:7" s="177" customFormat="1" ht="13.5">
      <c r="B22" s="178" t="s">
        <v>37</v>
      </c>
      <c r="C22" s="179">
        <v>8646</v>
      </c>
      <c r="D22" s="180">
        <v>7617</v>
      </c>
      <c r="E22" s="181">
        <f t="shared" si="0"/>
        <v>-11.901457321304655</v>
      </c>
      <c r="F22" s="182">
        <f t="shared" si="1"/>
        <v>34.42564204658571</v>
      </c>
      <c r="G22" s="183">
        <f t="shared" si="2"/>
        <v>32.7429824184327</v>
      </c>
    </row>
    <row r="23" spans="2:7" s="177" customFormat="1" ht="13.5">
      <c r="B23" s="178" t="s">
        <v>63</v>
      </c>
      <c r="C23" s="179">
        <v>5416</v>
      </c>
      <c r="D23" s="180">
        <v>5391</v>
      </c>
      <c r="E23" s="181">
        <f t="shared" si="0"/>
        <v>-0.4615952732644035</v>
      </c>
      <c r="F23" s="182">
        <f t="shared" si="1"/>
        <v>21.56480191120844</v>
      </c>
      <c r="G23" s="183">
        <f t="shared" si="2"/>
        <v>23.174139190989983</v>
      </c>
    </row>
    <row r="24" spans="2:7" s="177" customFormat="1" ht="13.5">
      <c r="B24" s="178" t="s">
        <v>40</v>
      </c>
      <c r="C24" s="179">
        <v>5837</v>
      </c>
      <c r="D24" s="180">
        <v>5518</v>
      </c>
      <c r="E24" s="181">
        <f t="shared" si="0"/>
        <v>-5.465136200102794</v>
      </c>
      <c r="F24" s="182">
        <f t="shared" si="1"/>
        <v>23.24109098148517</v>
      </c>
      <c r="G24" s="183">
        <f t="shared" si="2"/>
        <v>23.72007049821605</v>
      </c>
    </row>
    <row r="25" spans="2:7" s="177" customFormat="1" ht="13.5">
      <c r="B25" s="178" t="s">
        <v>41</v>
      </c>
      <c r="C25" s="179">
        <v>4477</v>
      </c>
      <c r="D25" s="180">
        <v>4025</v>
      </c>
      <c r="E25" s="181">
        <f t="shared" si="0"/>
        <v>-10.096046459682828</v>
      </c>
      <c r="F25" s="182">
        <f t="shared" si="1"/>
        <v>17.826000398168425</v>
      </c>
      <c r="G25" s="183">
        <f t="shared" si="2"/>
        <v>17.30215363452693</v>
      </c>
    </row>
    <row r="26" spans="2:7" s="177" customFormat="1" ht="13.5">
      <c r="B26" s="178"/>
      <c r="C26" s="179"/>
      <c r="D26" s="180"/>
      <c r="E26" s="181"/>
      <c r="F26" s="182"/>
      <c r="G26" s="183"/>
    </row>
    <row r="27" spans="2:7" s="134" customFormat="1" ht="13.5">
      <c r="B27" s="146" t="s">
        <v>43</v>
      </c>
      <c r="C27" s="185">
        <f>SUM(C29:C34)</f>
        <v>75123</v>
      </c>
      <c r="D27" s="186">
        <f>SUM(D29:D34)</f>
        <v>75464</v>
      </c>
      <c r="E27" s="149">
        <f>(D27/C27-1)*100</f>
        <v>0.45392223420257505</v>
      </c>
      <c r="F27" s="150">
        <f>C27/75123*100</f>
        <v>100</v>
      </c>
      <c r="G27" s="151">
        <f>D27/75464*100</f>
        <v>100</v>
      </c>
    </row>
    <row r="28" spans="2:7" s="184" customFormat="1" ht="13.5">
      <c r="B28" s="178"/>
      <c r="C28" s="179"/>
      <c r="D28" s="180"/>
      <c r="E28" s="181"/>
      <c r="F28" s="182"/>
      <c r="G28" s="183"/>
    </row>
    <row r="29" spans="2:7" s="184" customFormat="1" ht="13.5">
      <c r="B29" s="178" t="s">
        <v>44</v>
      </c>
      <c r="C29" s="179">
        <v>4416</v>
      </c>
      <c r="D29" s="180">
        <v>4406</v>
      </c>
      <c r="E29" s="181">
        <f aca="true" t="shared" si="3" ref="E29:E34">(D29/C29-1)*100</f>
        <v>-0.22644927536231707</v>
      </c>
      <c r="F29" s="182">
        <f aca="true" t="shared" si="4" ref="F29:F34">C29/75123*100</f>
        <v>5.8783594904356855</v>
      </c>
      <c r="G29" s="183">
        <f aca="true" t="shared" si="5" ref="G29:G34">D29/75464*100</f>
        <v>5.838545531644228</v>
      </c>
    </row>
    <row r="30" spans="2:7" s="184" customFormat="1" ht="13.5">
      <c r="B30" s="178" t="s">
        <v>62</v>
      </c>
      <c r="C30" s="179">
        <v>6490</v>
      </c>
      <c r="D30" s="180">
        <v>6079</v>
      </c>
      <c r="E30" s="181">
        <f t="shared" si="3"/>
        <v>-6.332819722650229</v>
      </c>
      <c r="F30" s="182">
        <f t="shared" si="4"/>
        <v>8.639165102565126</v>
      </c>
      <c r="G30" s="183">
        <f t="shared" si="5"/>
        <v>8.055496660659388</v>
      </c>
    </row>
    <row r="31" spans="2:7" s="184" customFormat="1" ht="13.5">
      <c r="B31" s="178" t="s">
        <v>45</v>
      </c>
      <c r="C31" s="179">
        <v>29022</v>
      </c>
      <c r="D31" s="180">
        <v>29515</v>
      </c>
      <c r="E31" s="181">
        <f t="shared" si="3"/>
        <v>1.6987113224450345</v>
      </c>
      <c r="F31" s="182">
        <f t="shared" si="4"/>
        <v>38.63264246635518</v>
      </c>
      <c r="G31" s="183">
        <f t="shared" si="5"/>
        <v>39.11136435916463</v>
      </c>
    </row>
    <row r="32" spans="2:7" s="184" customFormat="1" ht="13.5">
      <c r="B32" s="178" t="s">
        <v>46</v>
      </c>
      <c r="C32" s="179">
        <v>5087</v>
      </c>
      <c r="D32" s="180">
        <v>5557</v>
      </c>
      <c r="E32" s="181">
        <f t="shared" si="3"/>
        <v>9.23923727147631</v>
      </c>
      <c r="F32" s="182">
        <f t="shared" si="4"/>
        <v>6.771561306124623</v>
      </c>
      <c r="G32" s="183">
        <f t="shared" si="5"/>
        <v>7.363776105162727</v>
      </c>
    </row>
    <row r="33" spans="2:7" s="184" customFormat="1" ht="13.5">
      <c r="B33" s="178" t="s">
        <v>61</v>
      </c>
      <c r="C33" s="179">
        <v>4926</v>
      </c>
      <c r="D33" s="180">
        <v>5017</v>
      </c>
      <c r="E33" s="181">
        <f t="shared" si="3"/>
        <v>1.8473406414941218</v>
      </c>
      <c r="F33" s="182">
        <f t="shared" si="4"/>
        <v>6.557246116369154</v>
      </c>
      <c r="G33" s="183">
        <f t="shared" si="5"/>
        <v>6.648203116717904</v>
      </c>
    </row>
    <row r="34" spans="2:7" s="184" customFormat="1" ht="13.5">
      <c r="B34" s="178" t="s">
        <v>47</v>
      </c>
      <c r="C34" s="179">
        <v>25182</v>
      </c>
      <c r="D34" s="180">
        <v>24890</v>
      </c>
      <c r="E34" s="181">
        <f t="shared" si="3"/>
        <v>-1.1595584147406912</v>
      </c>
      <c r="F34" s="182">
        <f t="shared" si="4"/>
        <v>33.52102551815023</v>
      </c>
      <c r="G34" s="183">
        <f t="shared" si="5"/>
        <v>32.98261422665112</v>
      </c>
    </row>
    <row r="35" spans="2:8" ht="14.25" thickBot="1">
      <c r="B35" s="23"/>
      <c r="C35" s="59"/>
      <c r="D35" s="60"/>
      <c r="E35" s="34"/>
      <c r="F35" s="51"/>
      <c r="G35" s="52"/>
      <c r="H35"/>
    </row>
    <row r="36" ht="13.5">
      <c r="H36"/>
    </row>
    <row r="37" s="96" customFormat="1" ht="19.5" customHeight="1">
      <c r="B37" s="198" t="s">
        <v>145</v>
      </c>
    </row>
    <row r="38" s="96" customFormat="1" ht="19.5" customHeight="1">
      <c r="B38" s="204" t="s">
        <v>146</v>
      </c>
    </row>
    <row r="39" s="96" customFormat="1" ht="19.5" customHeight="1">
      <c r="B39" s="463" t="s">
        <v>168</v>
      </c>
    </row>
    <row r="40" s="96" customFormat="1" ht="19.5" customHeight="1">
      <c r="B40" s="463" t="s">
        <v>169</v>
      </c>
    </row>
    <row r="41" s="96" customFormat="1" ht="19.5" customHeight="1">
      <c r="B41" s="463" t="s">
        <v>364</v>
      </c>
    </row>
    <row r="42" s="96" customFormat="1" ht="19.5" customHeight="1"/>
    <row r="43" s="96" customFormat="1" ht="19.5" customHeight="1">
      <c r="B43" s="204" t="s">
        <v>165</v>
      </c>
    </row>
    <row r="44" s="96" customFormat="1" ht="19.5" customHeight="1">
      <c r="B44" s="463" t="s">
        <v>170</v>
      </c>
    </row>
    <row r="45" s="96" customFormat="1" ht="19.5" customHeight="1">
      <c r="B45" s="463" t="s">
        <v>365</v>
      </c>
    </row>
    <row r="46" s="96" customFormat="1" ht="19.5" customHeight="1"/>
    <row r="47" spans="3:7" s="96" customFormat="1" ht="14.25">
      <c r="C47" s="205"/>
      <c r="D47" s="205"/>
      <c r="E47" s="203"/>
      <c r="F47" s="203"/>
      <c r="G47" s="203"/>
    </row>
    <row r="48" spans="2:7" s="96" customFormat="1" ht="18" customHeight="1">
      <c r="B48" s="206" t="s">
        <v>152</v>
      </c>
      <c r="D48" s="203"/>
      <c r="E48" s="203"/>
      <c r="F48" s="203"/>
      <c r="G48" s="200"/>
    </row>
    <row r="49" spans="2:7" s="96" customFormat="1" ht="18" customHeight="1">
      <c r="B49" s="204" t="s">
        <v>146</v>
      </c>
      <c r="D49" s="203"/>
      <c r="E49" s="203"/>
      <c r="F49" s="203"/>
      <c r="G49" s="200"/>
    </row>
    <row r="50" spans="2:7" s="96" customFormat="1" ht="18" customHeight="1">
      <c r="B50" s="463" t="s">
        <v>171</v>
      </c>
      <c r="D50" s="203"/>
      <c r="E50" s="203"/>
      <c r="F50" s="203"/>
      <c r="G50" s="200"/>
    </row>
    <row r="51" spans="2:7" s="96" customFormat="1" ht="18" customHeight="1">
      <c r="B51" s="463" t="s">
        <v>172</v>
      </c>
      <c r="D51" s="203"/>
      <c r="E51" s="203"/>
      <c r="F51" s="203"/>
      <c r="G51" s="200"/>
    </row>
    <row r="52" spans="2:7" s="132" customFormat="1" ht="18" customHeight="1">
      <c r="B52" s="463" t="s">
        <v>173</v>
      </c>
      <c r="D52" s="133"/>
      <c r="E52" s="133"/>
      <c r="F52" s="133"/>
      <c r="G52" s="153"/>
    </row>
    <row r="53" spans="4:7" s="132" customFormat="1" ht="18" customHeight="1">
      <c r="D53" s="133"/>
      <c r="E53" s="133"/>
      <c r="F53" s="133"/>
      <c r="G53" s="153"/>
    </row>
    <row r="54" spans="4:7" s="132" customFormat="1" ht="18" customHeight="1">
      <c r="D54" s="133"/>
      <c r="E54" s="133"/>
      <c r="F54" s="133"/>
      <c r="G54" s="153"/>
    </row>
    <row r="55" spans="4:8" s="132" customFormat="1" ht="18" customHeight="1">
      <c r="D55" s="133"/>
      <c r="E55" s="133"/>
      <c r="F55" s="133"/>
      <c r="G55" s="153"/>
      <c r="H55" s="153"/>
    </row>
  </sheetData>
  <mergeCells count="6">
    <mergeCell ref="C13:D13"/>
    <mergeCell ref="F13:G13"/>
    <mergeCell ref="B12:C12"/>
    <mergeCell ref="B4:G4"/>
    <mergeCell ref="B5:G5"/>
    <mergeCell ref="B6:G6"/>
  </mergeCells>
  <printOptions/>
  <pageMargins left="0.75" right="0.75" top="1" bottom="1" header="0.512" footer="0.51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indexed="43"/>
  </sheetPr>
  <dimension ref="A2:G4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5.50390625" style="0" customWidth="1"/>
    <col min="2" max="3" width="12.00390625" style="0" customWidth="1"/>
    <col min="4" max="6" width="12.00390625" style="35" customWidth="1"/>
    <col min="7" max="7" width="9.00390625" style="1" customWidth="1"/>
  </cols>
  <sheetData>
    <row r="1" ht="18" customHeight="1"/>
    <row r="2" ht="18" customHeight="1">
      <c r="A2" s="134" t="s">
        <v>165</v>
      </c>
    </row>
    <row r="3" ht="18" customHeight="1">
      <c r="A3" s="464" t="s">
        <v>366</v>
      </c>
    </row>
    <row r="4" ht="18" customHeight="1">
      <c r="A4" s="464" t="s">
        <v>166</v>
      </c>
    </row>
    <row r="5" ht="18" customHeight="1">
      <c r="A5" s="464" t="s">
        <v>367</v>
      </c>
    </row>
    <row r="6" ht="18" customHeight="1"/>
    <row r="7" ht="18" customHeight="1"/>
    <row r="8" spans="1:2" ht="18" customHeight="1" thickBot="1">
      <c r="A8" s="580" t="s">
        <v>167</v>
      </c>
      <c r="B8" s="580"/>
    </row>
    <row r="9" spans="1:6" ht="14.25" thickBot="1">
      <c r="A9" s="2"/>
      <c r="B9" s="581" t="s">
        <v>65</v>
      </c>
      <c r="C9" s="572"/>
      <c r="D9" s="31" t="s">
        <v>59</v>
      </c>
      <c r="E9" s="578" t="s">
        <v>31</v>
      </c>
      <c r="F9" s="579"/>
    </row>
    <row r="10" spans="1:7" s="187" customFormat="1" ht="14.25" thickBot="1">
      <c r="A10" s="175" t="s">
        <v>50</v>
      </c>
      <c r="B10" s="6" t="s">
        <v>48</v>
      </c>
      <c r="C10" s="6" t="s">
        <v>49</v>
      </c>
      <c r="D10" s="176" t="s">
        <v>64</v>
      </c>
      <c r="E10" s="6" t="s">
        <v>48</v>
      </c>
      <c r="F10" s="15" t="s">
        <v>49</v>
      </c>
      <c r="G10" s="171"/>
    </row>
    <row r="11" spans="1:7" s="162" customFormat="1" ht="12">
      <c r="A11" s="155"/>
      <c r="B11" s="173" t="s">
        <v>60</v>
      </c>
      <c r="C11" s="174" t="s">
        <v>60</v>
      </c>
      <c r="D11" s="158" t="s">
        <v>163</v>
      </c>
      <c r="E11" s="159" t="s">
        <v>163</v>
      </c>
      <c r="F11" s="160" t="s">
        <v>163</v>
      </c>
      <c r="G11" s="161"/>
    </row>
    <row r="12" spans="1:7" s="152" customFormat="1" ht="13.5">
      <c r="A12" s="146" t="s">
        <v>33</v>
      </c>
      <c r="B12" s="147">
        <f>SUM(B14:B21)</f>
        <v>100238</v>
      </c>
      <c r="C12" s="196">
        <f>SUM(C14:C22)</f>
        <v>98727</v>
      </c>
      <c r="D12" s="149">
        <f>(C12/B12-1)*100</f>
        <v>-1.5074123585865684</v>
      </c>
      <c r="E12" s="150">
        <v>100</v>
      </c>
      <c r="F12" s="151">
        <v>100</v>
      </c>
      <c r="G12" s="98"/>
    </row>
    <row r="13" spans="1:7" s="177" customFormat="1" ht="13.5">
      <c r="A13" s="178"/>
      <c r="B13" s="188"/>
      <c r="C13" s="189"/>
      <c r="D13" s="181"/>
      <c r="E13" s="182"/>
      <c r="F13" s="183"/>
      <c r="G13" s="197"/>
    </row>
    <row r="14" spans="1:7" s="177" customFormat="1" ht="13.5">
      <c r="A14" s="178" t="s">
        <v>51</v>
      </c>
      <c r="B14" s="188">
        <v>13524</v>
      </c>
      <c r="C14" s="189">
        <v>12747</v>
      </c>
      <c r="D14" s="181">
        <f aca="true" t="shared" si="0" ref="D14:D21">(C14/B14-1)*100</f>
        <v>-5.745341614906829</v>
      </c>
      <c r="E14" s="182">
        <f>B14/100238*100</f>
        <v>13.491889303457771</v>
      </c>
      <c r="F14" s="183">
        <f>C14/98727*100</f>
        <v>12.911361633595671</v>
      </c>
      <c r="G14" s="197"/>
    </row>
    <row r="15" spans="1:7" s="177" customFormat="1" ht="13.5">
      <c r="A15" s="178" t="s">
        <v>52</v>
      </c>
      <c r="B15" s="188">
        <v>13411</v>
      </c>
      <c r="C15" s="189">
        <v>13251</v>
      </c>
      <c r="D15" s="181">
        <f t="shared" si="0"/>
        <v>-1.1930504809484765</v>
      </c>
      <c r="E15" s="182">
        <f aca="true" t="shared" si="1" ref="E15:E21">B15/100238*100</f>
        <v>13.379157604900339</v>
      </c>
      <c r="F15" s="183">
        <f aca="true" t="shared" si="2" ref="F15:F21">C15/98727*100</f>
        <v>13.421860281381992</v>
      </c>
      <c r="G15" s="197"/>
    </row>
    <row r="16" spans="1:7" s="177" customFormat="1" ht="13.5">
      <c r="A16" s="178" t="s">
        <v>53</v>
      </c>
      <c r="B16" s="188">
        <v>20466</v>
      </c>
      <c r="C16" s="189">
        <v>20268</v>
      </c>
      <c r="D16" s="181">
        <f t="shared" si="0"/>
        <v>-0.9674582233949014</v>
      </c>
      <c r="E16" s="182">
        <f t="shared" si="1"/>
        <v>20.417406572357788</v>
      </c>
      <c r="F16" s="183">
        <f t="shared" si="2"/>
        <v>20.529338478835577</v>
      </c>
      <c r="G16" s="197"/>
    </row>
    <row r="17" spans="1:7" s="177" customFormat="1" ht="13.5">
      <c r="A17" s="178" t="s">
        <v>54</v>
      </c>
      <c r="B17" s="188">
        <v>19082</v>
      </c>
      <c r="C17" s="189">
        <v>18861</v>
      </c>
      <c r="D17" s="181">
        <f t="shared" si="0"/>
        <v>-1.158159522062674</v>
      </c>
      <c r="E17" s="182">
        <f t="shared" si="1"/>
        <v>19.03669267144197</v>
      </c>
      <c r="F17" s="183">
        <f t="shared" si="2"/>
        <v>19.1041964204321</v>
      </c>
      <c r="G17" s="197"/>
    </row>
    <row r="18" spans="1:7" s="177" customFormat="1" ht="13.5">
      <c r="A18" s="178" t="s">
        <v>55</v>
      </c>
      <c r="B18" s="188">
        <v>8857</v>
      </c>
      <c r="C18" s="189">
        <v>8540</v>
      </c>
      <c r="D18" s="181">
        <f t="shared" si="0"/>
        <v>-3.579089985322348</v>
      </c>
      <c r="E18" s="182">
        <f t="shared" si="1"/>
        <v>8.83597039047068</v>
      </c>
      <c r="F18" s="183">
        <f t="shared" si="2"/>
        <v>8.65011597637931</v>
      </c>
      <c r="G18" s="197"/>
    </row>
    <row r="19" spans="1:7" s="177" customFormat="1" ht="13.5">
      <c r="A19" s="178" t="s">
        <v>56</v>
      </c>
      <c r="B19" s="188">
        <v>9130</v>
      </c>
      <c r="C19" s="189">
        <v>9331</v>
      </c>
      <c r="D19" s="181">
        <f t="shared" si="0"/>
        <v>2.2015334063526737</v>
      </c>
      <c r="E19" s="182">
        <f t="shared" si="1"/>
        <v>9.10832219318023</v>
      </c>
      <c r="F19" s="183">
        <f t="shared" si="2"/>
        <v>9.451315243043949</v>
      </c>
      <c r="G19" s="197"/>
    </row>
    <row r="20" spans="1:7" s="177" customFormat="1" ht="13.5">
      <c r="A20" s="178" t="s">
        <v>57</v>
      </c>
      <c r="B20" s="188">
        <v>8649</v>
      </c>
      <c r="C20" s="189">
        <v>8263</v>
      </c>
      <c r="D20" s="181">
        <f t="shared" si="0"/>
        <v>-4.46294369291248</v>
      </c>
      <c r="E20" s="182">
        <f t="shared" si="1"/>
        <v>8.628464255072926</v>
      </c>
      <c r="F20" s="183">
        <f t="shared" si="2"/>
        <v>8.36954429892532</v>
      </c>
      <c r="G20" s="197"/>
    </row>
    <row r="21" spans="1:7" s="177" customFormat="1" ht="13.5">
      <c r="A21" s="178" t="s">
        <v>58</v>
      </c>
      <c r="B21" s="188">
        <v>7119</v>
      </c>
      <c r="C21" s="189">
        <v>7466</v>
      </c>
      <c r="D21" s="181">
        <f t="shared" si="0"/>
        <v>4.8742800955190235</v>
      </c>
      <c r="E21" s="182">
        <f t="shared" si="1"/>
        <v>7.102097009118298</v>
      </c>
      <c r="F21" s="183">
        <f t="shared" si="2"/>
        <v>7.562267667406079</v>
      </c>
      <c r="G21" s="197"/>
    </row>
    <row r="22" spans="1:7" s="177" customFormat="1" ht="13.5">
      <c r="A22" s="178"/>
      <c r="B22" s="188"/>
      <c r="C22" s="189"/>
      <c r="D22" s="181"/>
      <c r="E22" s="182"/>
      <c r="F22" s="183"/>
      <c r="G22" s="197"/>
    </row>
    <row r="23" spans="1:7" s="177" customFormat="1" ht="13.5">
      <c r="A23" s="178"/>
      <c r="B23" s="188"/>
      <c r="C23" s="189"/>
      <c r="D23" s="181"/>
      <c r="E23" s="182"/>
      <c r="F23" s="183"/>
      <c r="G23" s="197"/>
    </row>
    <row r="24" spans="1:7" s="152" customFormat="1" ht="13.5">
      <c r="A24" s="146" t="s">
        <v>94</v>
      </c>
      <c r="B24" s="147">
        <f>SUM(B26:B33)</f>
        <v>25115</v>
      </c>
      <c r="C24" s="196">
        <f>SUM(C26:C33)</f>
        <v>23263</v>
      </c>
      <c r="D24" s="149">
        <f>(C24/B24-1)*100</f>
        <v>-7.3740792355166285</v>
      </c>
      <c r="E24" s="150">
        <v>100</v>
      </c>
      <c r="F24" s="151">
        <v>100</v>
      </c>
      <c r="G24" s="98"/>
    </row>
    <row r="25" spans="1:7" s="177" customFormat="1" ht="13.5">
      <c r="A25" s="178"/>
      <c r="B25" s="188"/>
      <c r="C25" s="189"/>
      <c r="D25" s="181"/>
      <c r="E25" s="182"/>
      <c r="F25" s="183"/>
      <c r="G25" s="197"/>
    </row>
    <row r="26" spans="1:7" s="177" customFormat="1" ht="13.5">
      <c r="A26" s="178" t="s">
        <v>51</v>
      </c>
      <c r="B26" s="188">
        <v>1254</v>
      </c>
      <c r="C26" s="189">
        <f aca="true" t="shared" si="3" ref="C26:C33">C14-C38</f>
        <v>1274</v>
      </c>
      <c r="D26" s="181">
        <f aca="true" t="shared" si="4" ref="D26:D33">(C26/B26-1)*100</f>
        <v>1.594896331738438</v>
      </c>
      <c r="E26" s="182">
        <f>B26/25115*100</f>
        <v>4.993032052558232</v>
      </c>
      <c r="F26" s="183">
        <f>C26/23263*100</f>
        <v>5.476507759102437</v>
      </c>
      <c r="G26" s="197"/>
    </row>
    <row r="27" spans="1:7" s="177" customFormat="1" ht="13.5">
      <c r="A27" s="178" t="s">
        <v>52</v>
      </c>
      <c r="B27" s="188">
        <v>2559</v>
      </c>
      <c r="C27" s="189">
        <f t="shared" si="3"/>
        <v>2579</v>
      </c>
      <c r="D27" s="181">
        <f t="shared" si="4"/>
        <v>0.7815552950371174</v>
      </c>
      <c r="E27" s="182">
        <f aca="true" t="shared" si="5" ref="E27:E33">B27/25115*100</f>
        <v>10.189130001990844</v>
      </c>
      <c r="F27" s="183">
        <f aca="true" t="shared" si="6" ref="F27:F33">C27/23263*100</f>
        <v>11.086274341228561</v>
      </c>
      <c r="G27" s="197"/>
    </row>
    <row r="28" spans="1:7" s="177" customFormat="1" ht="13.5">
      <c r="A28" s="178" t="s">
        <v>53</v>
      </c>
      <c r="B28" s="188">
        <v>5491</v>
      </c>
      <c r="C28" s="189">
        <f t="shared" si="3"/>
        <v>5608</v>
      </c>
      <c r="D28" s="181">
        <f t="shared" si="4"/>
        <v>2.1307594245128403</v>
      </c>
      <c r="E28" s="182">
        <f t="shared" si="5"/>
        <v>21.86342823014135</v>
      </c>
      <c r="F28" s="183">
        <f t="shared" si="6"/>
        <v>24.106950952155785</v>
      </c>
      <c r="G28" s="197"/>
    </row>
    <row r="29" spans="1:7" s="177" customFormat="1" ht="13.5">
      <c r="A29" s="178" t="s">
        <v>54</v>
      </c>
      <c r="B29" s="188">
        <v>5980</v>
      </c>
      <c r="C29" s="189">
        <f t="shared" si="3"/>
        <v>5881</v>
      </c>
      <c r="D29" s="181">
        <f t="shared" si="4"/>
        <v>-1.655518394648825</v>
      </c>
      <c r="E29" s="182">
        <f t="shared" si="5"/>
        <v>23.810471829583914</v>
      </c>
      <c r="F29" s="183">
        <f t="shared" si="6"/>
        <v>25.280488329106305</v>
      </c>
      <c r="G29" s="197"/>
    </row>
    <row r="30" spans="1:7" s="177" customFormat="1" ht="13.5">
      <c r="A30" s="178" t="s">
        <v>55</v>
      </c>
      <c r="B30" s="188">
        <v>3390</v>
      </c>
      <c r="C30" s="189">
        <f t="shared" si="3"/>
        <v>3117</v>
      </c>
      <c r="D30" s="181">
        <f t="shared" si="4"/>
        <v>-8.053097345132743</v>
      </c>
      <c r="E30" s="182">
        <f t="shared" si="5"/>
        <v>13.49790961576747</v>
      </c>
      <c r="F30" s="183">
        <f t="shared" si="6"/>
        <v>13.398959721446074</v>
      </c>
      <c r="G30" s="197"/>
    </row>
    <row r="31" spans="1:7" s="177" customFormat="1" ht="13.5">
      <c r="A31" s="178" t="s">
        <v>56</v>
      </c>
      <c r="B31" s="188">
        <v>2828</v>
      </c>
      <c r="C31" s="189">
        <f t="shared" si="3"/>
        <v>2828</v>
      </c>
      <c r="D31" s="181">
        <f t="shared" si="4"/>
        <v>0</v>
      </c>
      <c r="E31" s="182">
        <f t="shared" si="5"/>
        <v>11.260203065896874</v>
      </c>
      <c r="F31" s="183">
        <f t="shared" si="6"/>
        <v>12.156643597128488</v>
      </c>
      <c r="G31" s="197"/>
    </row>
    <row r="32" spans="1:7" s="177" customFormat="1" ht="13.5">
      <c r="A32" s="178" t="s">
        <v>57</v>
      </c>
      <c r="B32" s="188">
        <v>2670</v>
      </c>
      <c r="C32" s="189">
        <f t="shared" si="3"/>
        <v>1523</v>
      </c>
      <c r="D32" s="181">
        <f t="shared" si="4"/>
        <v>-42.95880149812734</v>
      </c>
      <c r="E32" s="182">
        <f t="shared" si="5"/>
        <v>10.631096954011547</v>
      </c>
      <c r="F32" s="183">
        <f t="shared" si="6"/>
        <v>6.546877015002364</v>
      </c>
      <c r="G32" s="197"/>
    </row>
    <row r="33" spans="1:7" s="177" customFormat="1" ht="13.5">
      <c r="A33" s="178" t="s">
        <v>58</v>
      </c>
      <c r="B33" s="188">
        <v>943</v>
      </c>
      <c r="C33" s="189">
        <f t="shared" si="3"/>
        <v>453</v>
      </c>
      <c r="D33" s="181">
        <f t="shared" si="4"/>
        <v>-51.961823966065744</v>
      </c>
      <c r="E33" s="182">
        <f t="shared" si="5"/>
        <v>3.754728250049771</v>
      </c>
      <c r="F33" s="183">
        <f t="shared" si="6"/>
        <v>1.9472982848299876</v>
      </c>
      <c r="G33" s="197"/>
    </row>
    <row r="34" spans="1:7" s="177" customFormat="1" ht="13.5">
      <c r="A34" s="178"/>
      <c r="B34" s="188"/>
      <c r="C34" s="189"/>
      <c r="D34" s="181"/>
      <c r="E34" s="182"/>
      <c r="F34" s="183"/>
      <c r="G34" s="197"/>
    </row>
    <row r="35" spans="1:7" s="177" customFormat="1" ht="13.5">
      <c r="A35" s="178"/>
      <c r="B35" s="188"/>
      <c r="C35" s="189"/>
      <c r="D35" s="181"/>
      <c r="E35" s="182"/>
      <c r="F35" s="183"/>
      <c r="G35" s="197"/>
    </row>
    <row r="36" spans="1:7" s="152" customFormat="1" ht="13.5">
      <c r="A36" s="146" t="s">
        <v>43</v>
      </c>
      <c r="B36" s="147">
        <f>SUM(B38:B45)</f>
        <v>75123</v>
      </c>
      <c r="C36" s="196">
        <f>SUM(C38:C45)</f>
        <v>75464</v>
      </c>
      <c r="D36" s="149">
        <f>(C36/B36-1)*100</f>
        <v>0.45392223420257505</v>
      </c>
      <c r="E36" s="150">
        <v>100</v>
      </c>
      <c r="F36" s="151">
        <v>100</v>
      </c>
      <c r="G36" s="98"/>
    </row>
    <row r="37" spans="1:7" s="177" customFormat="1" ht="13.5">
      <c r="A37" s="178"/>
      <c r="B37" s="188"/>
      <c r="C37" s="189"/>
      <c r="D37" s="181"/>
      <c r="E37" s="182"/>
      <c r="F37" s="183"/>
      <c r="G37" s="197"/>
    </row>
    <row r="38" spans="1:7" s="177" customFormat="1" ht="13.5">
      <c r="A38" s="178" t="s">
        <v>51</v>
      </c>
      <c r="B38" s="188">
        <v>12270</v>
      </c>
      <c r="C38" s="189">
        <v>11473</v>
      </c>
      <c r="D38" s="181">
        <f aca="true" t="shared" si="7" ref="D38:D45">(C38/B38-1)*100</f>
        <v>-6.495517522412387</v>
      </c>
      <c r="E38" s="182">
        <f>B38/75123*100</f>
        <v>16.33321352981111</v>
      </c>
      <c r="F38" s="183">
        <f>C38/75464*100</f>
        <v>15.20327573412488</v>
      </c>
      <c r="G38" s="197"/>
    </row>
    <row r="39" spans="1:7" s="177" customFormat="1" ht="13.5">
      <c r="A39" s="178" t="s">
        <v>52</v>
      </c>
      <c r="B39" s="188">
        <v>10852</v>
      </c>
      <c r="C39" s="189">
        <v>10672</v>
      </c>
      <c r="D39" s="181">
        <f t="shared" si="7"/>
        <v>-1.6586804275709577</v>
      </c>
      <c r="E39" s="182">
        <f aca="true" t="shared" si="8" ref="E39:E45">B39/75123*100</f>
        <v>14.44564247966668</v>
      </c>
      <c r="F39" s="183">
        <f aca="true" t="shared" si="9" ref="F39:F45">C39/75464*100</f>
        <v>14.141842467931728</v>
      </c>
      <c r="G39" s="197"/>
    </row>
    <row r="40" spans="1:7" s="177" customFormat="1" ht="13.5">
      <c r="A40" s="178" t="s">
        <v>53</v>
      </c>
      <c r="B40" s="188">
        <v>14975</v>
      </c>
      <c r="C40" s="189">
        <v>14660</v>
      </c>
      <c r="D40" s="181">
        <f t="shared" si="7"/>
        <v>-2.1035058430717846</v>
      </c>
      <c r="E40" s="182">
        <f t="shared" si="8"/>
        <v>19.933974947752354</v>
      </c>
      <c r="F40" s="183">
        <f t="shared" si="9"/>
        <v>19.426481501113113</v>
      </c>
      <c r="G40" s="197"/>
    </row>
    <row r="41" spans="1:7" s="177" customFormat="1" ht="13.5">
      <c r="A41" s="178" t="s">
        <v>54</v>
      </c>
      <c r="B41" s="188">
        <v>13102</v>
      </c>
      <c r="C41" s="189">
        <v>12980</v>
      </c>
      <c r="D41" s="181">
        <f t="shared" si="7"/>
        <v>-0.9311555487711787</v>
      </c>
      <c r="E41" s="182">
        <f t="shared" si="8"/>
        <v>17.440730535255515</v>
      </c>
      <c r="F41" s="183">
        <f t="shared" si="9"/>
        <v>17.200254425951446</v>
      </c>
      <c r="G41" s="197"/>
    </row>
    <row r="42" spans="1:7" s="177" customFormat="1" ht="13.5">
      <c r="A42" s="178" t="s">
        <v>55</v>
      </c>
      <c r="B42" s="188">
        <v>5467</v>
      </c>
      <c r="C42" s="189">
        <v>5423</v>
      </c>
      <c r="D42" s="181">
        <f t="shared" si="7"/>
        <v>-0.8048289738430636</v>
      </c>
      <c r="E42" s="182">
        <f t="shared" si="8"/>
        <v>7.277398399957404</v>
      </c>
      <c r="F42" s="183">
        <f t="shared" si="9"/>
        <v>7.186207993215309</v>
      </c>
      <c r="G42" s="197"/>
    </row>
    <row r="43" spans="1:7" s="177" customFormat="1" ht="13.5">
      <c r="A43" s="178" t="s">
        <v>56</v>
      </c>
      <c r="B43" s="188">
        <v>6302</v>
      </c>
      <c r="C43" s="189">
        <v>6503</v>
      </c>
      <c r="D43" s="181">
        <f t="shared" si="7"/>
        <v>3.189463662329417</v>
      </c>
      <c r="E43" s="182">
        <f t="shared" si="8"/>
        <v>8.388908856142594</v>
      </c>
      <c r="F43" s="183">
        <f t="shared" si="9"/>
        <v>8.61735397010495</v>
      </c>
      <c r="G43" s="197"/>
    </row>
    <row r="44" spans="1:7" s="177" customFormat="1" ht="13.5">
      <c r="A44" s="178" t="s">
        <v>57</v>
      </c>
      <c r="B44" s="188">
        <v>5979</v>
      </c>
      <c r="C44" s="189">
        <v>6740</v>
      </c>
      <c r="D44" s="181">
        <f t="shared" si="7"/>
        <v>12.727880916541224</v>
      </c>
      <c r="E44" s="182">
        <f t="shared" si="8"/>
        <v>7.958947326384728</v>
      </c>
      <c r="F44" s="183">
        <f t="shared" si="9"/>
        <v>8.9314110039224</v>
      </c>
      <c r="G44" s="197"/>
    </row>
    <row r="45" spans="1:7" s="177" customFormat="1" ht="13.5">
      <c r="A45" s="178" t="s">
        <v>58</v>
      </c>
      <c r="B45" s="188">
        <v>6176</v>
      </c>
      <c r="C45" s="189">
        <v>7013</v>
      </c>
      <c r="D45" s="181">
        <f t="shared" si="7"/>
        <v>13.552461139896366</v>
      </c>
      <c r="E45" s="182">
        <f t="shared" si="8"/>
        <v>8.221183925029617</v>
      </c>
      <c r="F45" s="183">
        <f t="shared" si="9"/>
        <v>9.29317290363617</v>
      </c>
      <c r="G45" s="197"/>
    </row>
    <row r="46" spans="1:7" s="177" customFormat="1" ht="14.25" thickBot="1">
      <c r="A46" s="190"/>
      <c r="B46" s="191"/>
      <c r="C46" s="192"/>
      <c r="D46" s="193"/>
      <c r="E46" s="194"/>
      <c r="F46" s="195"/>
      <c r="G46" s="197"/>
    </row>
  </sheetData>
  <mergeCells count="3">
    <mergeCell ref="B9:C9"/>
    <mergeCell ref="E9:F9"/>
    <mergeCell ref="A8:B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>
    <tabColor indexed="43"/>
  </sheetPr>
  <dimension ref="A1:I173"/>
  <sheetViews>
    <sheetView zoomScale="75" zoomScaleNormal="75" workbookViewId="0" topLeftCell="A1">
      <selection activeCell="A5" sqref="A5"/>
    </sheetView>
  </sheetViews>
  <sheetFormatPr defaultColWidth="9.00390625" defaultRowHeight="13.5"/>
  <cols>
    <col min="1" max="1" width="36.00390625" style="0" customWidth="1"/>
    <col min="2" max="2" width="10.25390625" style="61" customWidth="1"/>
    <col min="3" max="3" width="8.625" style="63" customWidth="1"/>
    <col min="4" max="4" width="9.00390625" style="35" customWidth="1"/>
    <col min="5" max="5" width="8.625" style="35" customWidth="1"/>
    <col min="6" max="6" width="9.875" style="35" customWidth="1"/>
    <col min="7" max="7" width="8.625" style="35" customWidth="1"/>
    <col min="8" max="8" width="9.00390625" style="61" customWidth="1"/>
    <col min="9" max="9" width="8.625" style="35" customWidth="1"/>
  </cols>
  <sheetData>
    <row r="1" spans="1:9" s="210" customFormat="1" ht="18.75">
      <c r="A1" s="230" t="s">
        <v>176</v>
      </c>
      <c r="B1" s="207"/>
      <c r="C1" s="208"/>
      <c r="D1" s="209"/>
      <c r="E1" s="209"/>
      <c r="F1" s="209"/>
      <c r="G1" s="209"/>
      <c r="H1" s="207"/>
      <c r="I1" s="209"/>
    </row>
    <row r="2" s="201" customFormat="1" ht="18" customHeight="1">
      <c r="A2" s="471" t="s">
        <v>195</v>
      </c>
    </row>
    <row r="3" s="201" customFormat="1" ht="18" customHeight="1">
      <c r="A3" s="471" t="s">
        <v>368</v>
      </c>
    </row>
    <row r="4" s="201" customFormat="1" ht="13.5" customHeight="1">
      <c r="A4" s="471"/>
    </row>
    <row r="5" s="201" customFormat="1" ht="18" customHeight="1">
      <c r="A5" s="471" t="s">
        <v>183</v>
      </c>
    </row>
    <row r="6" s="201" customFormat="1" ht="18" customHeight="1">
      <c r="A6" s="201" t="s">
        <v>177</v>
      </c>
    </row>
    <row r="7" s="201" customFormat="1" ht="18" customHeight="1">
      <c r="A7" s="201" t="s">
        <v>178</v>
      </c>
    </row>
    <row r="8" s="201" customFormat="1" ht="18" customHeight="1">
      <c r="A8" s="201" t="s">
        <v>179</v>
      </c>
    </row>
    <row r="9" s="201" customFormat="1" ht="18" customHeight="1">
      <c r="A9" s="201" t="s">
        <v>180</v>
      </c>
    </row>
    <row r="10" s="201" customFormat="1" ht="18" customHeight="1">
      <c r="A10" s="201" t="s">
        <v>181</v>
      </c>
    </row>
    <row r="11" s="201" customFormat="1" ht="18" customHeight="1">
      <c r="A11" s="201" t="s">
        <v>182</v>
      </c>
    </row>
    <row r="12" s="201" customFormat="1" ht="18" customHeight="1"/>
    <row r="13" s="201" customFormat="1" ht="18" customHeight="1">
      <c r="A13" s="471" t="s">
        <v>184</v>
      </c>
    </row>
    <row r="14" s="201" customFormat="1" ht="18" customHeight="1">
      <c r="A14" s="231" t="s">
        <v>185</v>
      </c>
    </row>
    <row r="15" s="201" customFormat="1" ht="18" customHeight="1">
      <c r="A15" s="471" t="s">
        <v>187</v>
      </c>
    </row>
    <row r="16" s="201" customFormat="1" ht="18" customHeight="1">
      <c r="A16" s="471" t="s">
        <v>369</v>
      </c>
    </row>
    <row r="17" s="201" customFormat="1" ht="18" customHeight="1">
      <c r="A17" s="471" t="s">
        <v>188</v>
      </c>
    </row>
    <row r="18" s="201" customFormat="1" ht="18" customHeight="1">
      <c r="A18" s="471" t="s">
        <v>370</v>
      </c>
    </row>
    <row r="19" s="201" customFormat="1" ht="18" customHeight="1">
      <c r="A19" s="231" t="s">
        <v>186</v>
      </c>
    </row>
    <row r="20" s="201" customFormat="1" ht="18" customHeight="1">
      <c r="A20" s="471" t="s">
        <v>189</v>
      </c>
    </row>
    <row r="21" s="201" customFormat="1" ht="18" customHeight="1">
      <c r="A21" s="471" t="s">
        <v>371</v>
      </c>
    </row>
    <row r="22" s="201" customFormat="1" ht="18" customHeight="1">
      <c r="A22" s="471" t="s">
        <v>190</v>
      </c>
    </row>
    <row r="23" s="201" customFormat="1" ht="17.25">
      <c r="A23" s="471" t="s">
        <v>372</v>
      </c>
    </row>
    <row r="24" s="211" customFormat="1" ht="18" customHeight="1">
      <c r="A24" s="199"/>
    </row>
    <row r="25" spans="1:9" s="184" customFormat="1" ht="18" customHeight="1" thickBot="1">
      <c r="A25" s="591" t="s">
        <v>175</v>
      </c>
      <c r="B25" s="591"/>
      <c r="C25" s="212"/>
      <c r="D25" s="213"/>
      <c r="E25" s="213"/>
      <c r="F25" s="213"/>
      <c r="G25" s="213"/>
      <c r="H25" s="214"/>
      <c r="I25" s="213"/>
    </row>
    <row r="26" spans="1:9" s="184" customFormat="1" ht="18" customHeight="1">
      <c r="A26" s="215"/>
      <c r="B26" s="216"/>
      <c r="C26" s="217"/>
      <c r="D26" s="218" t="s">
        <v>67</v>
      </c>
      <c r="E26" s="218"/>
      <c r="F26" s="218" t="s">
        <v>69</v>
      </c>
      <c r="G26" s="218"/>
      <c r="H26" s="216"/>
      <c r="I26" s="218"/>
    </row>
    <row r="27" spans="1:9" s="184" customFormat="1" ht="18" customHeight="1" thickBot="1">
      <c r="A27" s="219" t="s">
        <v>22</v>
      </c>
      <c r="B27" s="220" t="s">
        <v>65</v>
      </c>
      <c r="C27" s="221" t="s">
        <v>31</v>
      </c>
      <c r="D27" s="222" t="s">
        <v>68</v>
      </c>
      <c r="E27" s="222" t="s">
        <v>31</v>
      </c>
      <c r="F27" s="222" t="s">
        <v>70</v>
      </c>
      <c r="G27" s="222" t="s">
        <v>31</v>
      </c>
      <c r="H27" s="220" t="s">
        <v>66</v>
      </c>
      <c r="I27" s="222" t="s">
        <v>31</v>
      </c>
    </row>
    <row r="28" spans="1:9" s="162" customFormat="1" ht="18" customHeight="1">
      <c r="A28" s="155"/>
      <c r="B28" s="173" t="s">
        <v>60</v>
      </c>
      <c r="C28" s="228" t="s">
        <v>163</v>
      </c>
      <c r="D28" s="173" t="s">
        <v>60</v>
      </c>
      <c r="E28" s="229" t="s">
        <v>163</v>
      </c>
      <c r="F28" s="173" t="s">
        <v>60</v>
      </c>
      <c r="G28" s="229" t="s">
        <v>163</v>
      </c>
      <c r="H28" s="173" t="s">
        <v>60</v>
      </c>
      <c r="I28" s="229" t="s">
        <v>163</v>
      </c>
    </row>
    <row r="29" spans="1:9" s="134" customFormat="1" ht="18" customHeight="1">
      <c r="A29" s="146" t="s">
        <v>33</v>
      </c>
      <c r="B29" s="226">
        <f>B31+B40</f>
        <v>98727</v>
      </c>
      <c r="C29" s="227"/>
      <c r="D29" s="226">
        <f>D31+D40</f>
        <v>3816</v>
      </c>
      <c r="E29" s="227"/>
      <c r="F29" s="226">
        <f>F31+F40</f>
        <v>2043</v>
      </c>
      <c r="G29" s="227"/>
      <c r="H29" s="185">
        <f>B29+D29+F29</f>
        <v>104586</v>
      </c>
      <c r="I29" s="151"/>
    </row>
    <row r="30" spans="1:9" s="184" customFormat="1" ht="18" customHeight="1">
      <c r="A30" s="178"/>
      <c r="B30" s="223"/>
      <c r="C30" s="224"/>
      <c r="D30" s="223"/>
      <c r="E30" s="224"/>
      <c r="F30" s="223"/>
      <c r="G30" s="224"/>
      <c r="H30" s="179"/>
      <c r="I30" s="183"/>
    </row>
    <row r="31" spans="1:9" s="134" customFormat="1" ht="18" customHeight="1">
      <c r="A31" s="146" t="s">
        <v>94</v>
      </c>
      <c r="B31" s="226">
        <f>SUM(B33:B38)</f>
        <v>23263</v>
      </c>
      <c r="C31" s="227">
        <v>100</v>
      </c>
      <c r="D31" s="226">
        <f>SUM(D33:D38)</f>
        <v>557</v>
      </c>
      <c r="E31" s="227">
        <v>100</v>
      </c>
      <c r="F31" s="226">
        <f>SUM(F33:F38)</f>
        <v>731</v>
      </c>
      <c r="G31" s="227">
        <v>100</v>
      </c>
      <c r="H31" s="185">
        <f>B31+D31+F31</f>
        <v>24551</v>
      </c>
      <c r="I31" s="151">
        <v>100</v>
      </c>
    </row>
    <row r="32" spans="1:9" s="184" customFormat="1" ht="18" customHeight="1">
      <c r="A32" s="178"/>
      <c r="B32" s="223"/>
      <c r="C32" s="224"/>
      <c r="D32" s="223"/>
      <c r="E32" s="224"/>
      <c r="F32" s="223"/>
      <c r="G32" s="224"/>
      <c r="H32" s="179"/>
      <c r="I32" s="183"/>
    </row>
    <row r="33" spans="1:9" s="184" customFormat="1" ht="18" customHeight="1">
      <c r="A33" s="178" t="s">
        <v>35</v>
      </c>
      <c r="B33" s="223">
        <v>198</v>
      </c>
      <c r="C33" s="224">
        <f aca="true" t="shared" si="0" ref="C33:C38">B33/23263*100</f>
        <v>0.8511369986674117</v>
      </c>
      <c r="D33" s="223">
        <v>1</v>
      </c>
      <c r="E33" s="224">
        <f aca="true" t="shared" si="1" ref="E33:E38">D33/557*100</f>
        <v>0.17953321364452424</v>
      </c>
      <c r="F33" s="223">
        <v>1</v>
      </c>
      <c r="G33" s="224">
        <f aca="true" t="shared" si="2" ref="G33:G38">F33/731*100</f>
        <v>0.13679890560875513</v>
      </c>
      <c r="H33" s="179">
        <f aca="true" t="shared" si="3" ref="H33:H38">B33+D33+F33</f>
        <v>200</v>
      </c>
      <c r="I33" s="183">
        <f aca="true" t="shared" si="4" ref="I33:I38">H33/24551*100</f>
        <v>0.8146307686041302</v>
      </c>
    </row>
    <row r="34" spans="1:9" s="184" customFormat="1" ht="18" customHeight="1">
      <c r="A34" s="178" t="s">
        <v>36</v>
      </c>
      <c r="B34" s="223">
        <v>514</v>
      </c>
      <c r="C34" s="224">
        <f t="shared" si="0"/>
        <v>2.2095172591669177</v>
      </c>
      <c r="D34" s="223">
        <v>9</v>
      </c>
      <c r="E34" s="224">
        <f t="shared" si="1"/>
        <v>1.615798922800718</v>
      </c>
      <c r="F34" s="223">
        <v>3</v>
      </c>
      <c r="G34" s="224">
        <f t="shared" si="2"/>
        <v>0.4103967168262654</v>
      </c>
      <c r="H34" s="179">
        <f t="shared" si="3"/>
        <v>526</v>
      </c>
      <c r="I34" s="183">
        <f t="shared" si="4"/>
        <v>2.1424789214288626</v>
      </c>
    </row>
    <row r="35" spans="1:9" s="184" customFormat="1" ht="18" customHeight="1">
      <c r="A35" s="178" t="s">
        <v>37</v>
      </c>
      <c r="B35" s="223">
        <v>7617</v>
      </c>
      <c r="C35" s="224">
        <f t="shared" si="0"/>
        <v>32.7429824184327</v>
      </c>
      <c r="D35" s="223">
        <v>251</v>
      </c>
      <c r="E35" s="224">
        <f t="shared" si="1"/>
        <v>45.062836624775585</v>
      </c>
      <c r="F35" s="223">
        <v>266</v>
      </c>
      <c r="G35" s="224">
        <f t="shared" si="2"/>
        <v>36.388508891928865</v>
      </c>
      <c r="H35" s="179">
        <f t="shared" si="3"/>
        <v>8134</v>
      </c>
      <c r="I35" s="183">
        <f t="shared" si="4"/>
        <v>33.13103335912997</v>
      </c>
    </row>
    <row r="36" spans="1:9" s="184" customFormat="1" ht="18" customHeight="1">
      <c r="A36" s="178" t="s">
        <v>63</v>
      </c>
      <c r="B36" s="223">
        <v>5391</v>
      </c>
      <c r="C36" s="224">
        <f t="shared" si="0"/>
        <v>23.174139190989983</v>
      </c>
      <c r="D36" s="223">
        <v>116</v>
      </c>
      <c r="E36" s="224">
        <f t="shared" si="1"/>
        <v>20.825852782764812</v>
      </c>
      <c r="F36" s="223">
        <v>170</v>
      </c>
      <c r="G36" s="224">
        <f t="shared" si="2"/>
        <v>23.25581395348837</v>
      </c>
      <c r="H36" s="179">
        <f t="shared" si="3"/>
        <v>5677</v>
      </c>
      <c r="I36" s="183">
        <f t="shared" si="4"/>
        <v>23.123294366828233</v>
      </c>
    </row>
    <row r="37" spans="1:9" s="184" customFormat="1" ht="18" customHeight="1">
      <c r="A37" s="178" t="s">
        <v>40</v>
      </c>
      <c r="B37" s="223">
        <v>5518</v>
      </c>
      <c r="C37" s="224">
        <f t="shared" si="0"/>
        <v>23.72007049821605</v>
      </c>
      <c r="D37" s="223">
        <v>55</v>
      </c>
      <c r="E37" s="224">
        <f t="shared" si="1"/>
        <v>9.874326750448834</v>
      </c>
      <c r="F37" s="223">
        <v>158</v>
      </c>
      <c r="G37" s="224">
        <f t="shared" si="2"/>
        <v>21.61422708618331</v>
      </c>
      <c r="H37" s="179">
        <f t="shared" si="3"/>
        <v>5731</v>
      </c>
      <c r="I37" s="183">
        <f t="shared" si="4"/>
        <v>23.34324467435135</v>
      </c>
    </row>
    <row r="38" spans="1:9" s="184" customFormat="1" ht="18" customHeight="1">
      <c r="A38" s="178" t="s">
        <v>41</v>
      </c>
      <c r="B38" s="223">
        <v>4025</v>
      </c>
      <c r="C38" s="224">
        <f t="shared" si="0"/>
        <v>17.30215363452693</v>
      </c>
      <c r="D38" s="223">
        <v>125</v>
      </c>
      <c r="E38" s="224">
        <f t="shared" si="1"/>
        <v>22.44165170556553</v>
      </c>
      <c r="F38" s="223">
        <v>133</v>
      </c>
      <c r="G38" s="224">
        <f t="shared" si="2"/>
        <v>18.194254445964432</v>
      </c>
      <c r="H38" s="179">
        <f t="shared" si="3"/>
        <v>4283</v>
      </c>
      <c r="I38" s="183">
        <f t="shared" si="4"/>
        <v>17.445317909657447</v>
      </c>
    </row>
    <row r="39" spans="1:9" s="184" customFormat="1" ht="18" customHeight="1">
      <c r="A39" s="178"/>
      <c r="B39" s="223"/>
      <c r="C39" s="224"/>
      <c r="D39" s="223"/>
      <c r="E39" s="224"/>
      <c r="F39" s="223"/>
      <c r="G39" s="224"/>
      <c r="H39" s="179"/>
      <c r="I39" s="183"/>
    </row>
    <row r="40" spans="1:9" s="134" customFormat="1" ht="18" customHeight="1">
      <c r="A40" s="146" t="s">
        <v>43</v>
      </c>
      <c r="B40" s="226">
        <f>SUM(B42:B47)</f>
        <v>75464</v>
      </c>
      <c r="C40" s="227">
        <v>100</v>
      </c>
      <c r="D40" s="226">
        <f>SUM(D42:D47)</f>
        <v>3259</v>
      </c>
      <c r="E40" s="227">
        <v>100</v>
      </c>
      <c r="F40" s="226">
        <f>SUM(F42:F47)</f>
        <v>1312</v>
      </c>
      <c r="G40" s="227">
        <v>100</v>
      </c>
      <c r="H40" s="185">
        <f>B40+D40+F40</f>
        <v>80035</v>
      </c>
      <c r="I40" s="151">
        <f>G40/75464*100</f>
        <v>0.13251351637867062</v>
      </c>
    </row>
    <row r="41" spans="1:9" s="184" customFormat="1" ht="18" customHeight="1">
      <c r="A41" s="178"/>
      <c r="B41" s="223"/>
      <c r="C41" s="224"/>
      <c r="D41" s="223"/>
      <c r="E41" s="224"/>
      <c r="F41" s="223"/>
      <c r="G41" s="224"/>
      <c r="H41" s="179"/>
      <c r="I41" s="183"/>
    </row>
    <row r="42" spans="1:9" s="184" customFormat="1" ht="18" customHeight="1">
      <c r="A42" s="178" t="s">
        <v>44</v>
      </c>
      <c r="B42" s="223">
        <v>4406</v>
      </c>
      <c r="C42" s="224">
        <f aca="true" t="shared" si="5" ref="C42:C47">B42/75464*100</f>
        <v>5.838545531644228</v>
      </c>
      <c r="D42" s="223">
        <v>44</v>
      </c>
      <c r="E42" s="224">
        <f aca="true" t="shared" si="6" ref="E42:E47">D42/3259*100</f>
        <v>1.350107394906413</v>
      </c>
      <c r="F42" s="223">
        <v>435</v>
      </c>
      <c r="G42" s="224">
        <f aca="true" t="shared" si="7" ref="G42:G47">F42/1312*100</f>
        <v>33.15548780487805</v>
      </c>
      <c r="H42" s="179">
        <f aca="true" t="shared" si="8" ref="H42:H47">B42+D42+F42</f>
        <v>4885</v>
      </c>
      <c r="I42" s="183">
        <f aca="true" t="shared" si="9" ref="I42:I47">H42/80035*100</f>
        <v>6.103579683888299</v>
      </c>
    </row>
    <row r="43" spans="1:9" s="184" customFormat="1" ht="18" customHeight="1">
      <c r="A43" s="178" t="s">
        <v>62</v>
      </c>
      <c r="B43" s="223">
        <v>6079</v>
      </c>
      <c r="C43" s="224">
        <f t="shared" si="5"/>
        <v>8.055496660659388</v>
      </c>
      <c r="D43" s="223">
        <v>194</v>
      </c>
      <c r="E43" s="224">
        <f t="shared" si="6"/>
        <v>5.952746241178276</v>
      </c>
      <c r="F43" s="223">
        <v>54</v>
      </c>
      <c r="G43" s="224">
        <f t="shared" si="7"/>
        <v>4.115853658536586</v>
      </c>
      <c r="H43" s="179">
        <f t="shared" si="8"/>
        <v>6327</v>
      </c>
      <c r="I43" s="183">
        <f t="shared" si="9"/>
        <v>7.905291434997189</v>
      </c>
    </row>
    <row r="44" spans="1:9" s="184" customFormat="1" ht="18" customHeight="1">
      <c r="A44" s="178" t="s">
        <v>45</v>
      </c>
      <c r="B44" s="223">
        <v>29515</v>
      </c>
      <c r="C44" s="224">
        <f t="shared" si="5"/>
        <v>39.11136435916463</v>
      </c>
      <c r="D44" s="223">
        <v>1191</v>
      </c>
      <c r="E44" s="224">
        <f t="shared" si="6"/>
        <v>36.544952439398585</v>
      </c>
      <c r="F44" s="223">
        <v>299</v>
      </c>
      <c r="G44" s="224">
        <f t="shared" si="7"/>
        <v>22.789634146341463</v>
      </c>
      <c r="H44" s="179">
        <f t="shared" si="8"/>
        <v>31005</v>
      </c>
      <c r="I44" s="183">
        <f t="shared" si="9"/>
        <v>38.73930155556944</v>
      </c>
    </row>
    <row r="45" spans="1:9" s="184" customFormat="1" ht="18" customHeight="1">
      <c r="A45" s="178" t="s">
        <v>46</v>
      </c>
      <c r="B45" s="223">
        <v>5557</v>
      </c>
      <c r="C45" s="224">
        <f t="shared" si="5"/>
        <v>7.363776105162727</v>
      </c>
      <c r="D45" s="223">
        <v>68</v>
      </c>
      <c r="E45" s="224">
        <f t="shared" si="6"/>
        <v>2.086529610309911</v>
      </c>
      <c r="F45" s="223">
        <v>28</v>
      </c>
      <c r="G45" s="224">
        <f t="shared" si="7"/>
        <v>2.1341463414634148</v>
      </c>
      <c r="H45" s="179">
        <f t="shared" si="8"/>
        <v>5653</v>
      </c>
      <c r="I45" s="183">
        <f t="shared" si="9"/>
        <v>7.063159867557943</v>
      </c>
    </row>
    <row r="46" spans="1:9" s="184" customFormat="1" ht="18" customHeight="1">
      <c r="A46" s="178" t="s">
        <v>61</v>
      </c>
      <c r="B46" s="223">
        <v>5017</v>
      </c>
      <c r="C46" s="224">
        <f t="shared" si="5"/>
        <v>6.648203116717904</v>
      </c>
      <c r="D46" s="223">
        <v>206</v>
      </c>
      <c r="E46" s="224">
        <f t="shared" si="6"/>
        <v>6.320957348880024</v>
      </c>
      <c r="F46" s="223">
        <v>49</v>
      </c>
      <c r="G46" s="224">
        <f t="shared" si="7"/>
        <v>3.7347560975609753</v>
      </c>
      <c r="H46" s="179">
        <f t="shared" si="8"/>
        <v>5272</v>
      </c>
      <c r="I46" s="183">
        <f t="shared" si="9"/>
        <v>6.587118135815581</v>
      </c>
    </row>
    <row r="47" spans="1:9" s="184" customFormat="1" ht="18" customHeight="1">
      <c r="A47" s="178" t="s">
        <v>47</v>
      </c>
      <c r="B47" s="223">
        <v>24890</v>
      </c>
      <c r="C47" s="224">
        <f t="shared" si="5"/>
        <v>32.98261422665112</v>
      </c>
      <c r="D47" s="223">
        <v>1556</v>
      </c>
      <c r="E47" s="224">
        <f t="shared" si="6"/>
        <v>47.74470696532679</v>
      </c>
      <c r="F47" s="223">
        <v>447</v>
      </c>
      <c r="G47" s="224">
        <f t="shared" si="7"/>
        <v>34.07012195121951</v>
      </c>
      <c r="H47" s="179">
        <f t="shared" si="8"/>
        <v>26893</v>
      </c>
      <c r="I47" s="183">
        <f t="shared" si="9"/>
        <v>33.60154932217155</v>
      </c>
    </row>
    <row r="48" spans="1:9" s="184" customFormat="1" ht="18" customHeight="1" thickBot="1">
      <c r="A48" s="190"/>
      <c r="B48" s="225"/>
      <c r="C48" s="195"/>
      <c r="D48" s="194"/>
      <c r="E48" s="195"/>
      <c r="F48" s="194"/>
      <c r="G48" s="195"/>
      <c r="H48" s="225"/>
      <c r="I48" s="195"/>
    </row>
    <row r="49" spans="2:9" s="184" customFormat="1" ht="13.5">
      <c r="B49" s="214"/>
      <c r="C49" s="212"/>
      <c r="D49" s="213"/>
      <c r="E49" s="213"/>
      <c r="F49" s="213"/>
      <c r="G49" s="213"/>
      <c r="H49" s="214"/>
      <c r="I49" s="213"/>
    </row>
    <row r="50" spans="2:9" s="184" customFormat="1" ht="13.5">
      <c r="B50" s="214"/>
      <c r="C50" s="212"/>
      <c r="D50" s="213"/>
      <c r="E50" s="213"/>
      <c r="F50" s="213"/>
      <c r="G50" s="213"/>
      <c r="H50" s="214"/>
      <c r="I50" s="213"/>
    </row>
    <row r="51" spans="2:9" s="184" customFormat="1" ht="13.5">
      <c r="B51" s="214"/>
      <c r="C51" s="212"/>
      <c r="D51" s="213"/>
      <c r="E51" s="213"/>
      <c r="F51" s="213"/>
      <c r="G51" s="213"/>
      <c r="H51" s="214"/>
      <c r="I51" s="213"/>
    </row>
    <row r="52" spans="2:9" s="184" customFormat="1" ht="13.5">
      <c r="B52" s="214"/>
      <c r="C52" s="212"/>
      <c r="D52" s="213"/>
      <c r="E52" s="213"/>
      <c r="F52" s="213"/>
      <c r="G52" s="213"/>
      <c r="H52" s="214"/>
      <c r="I52" s="213"/>
    </row>
    <row r="53" spans="2:9" s="184" customFormat="1" ht="13.5">
      <c r="B53" s="214"/>
      <c r="C53" s="212"/>
      <c r="D53" s="213"/>
      <c r="E53" s="213"/>
      <c r="F53" s="213"/>
      <c r="G53" s="213"/>
      <c r="H53" s="214"/>
      <c r="I53" s="213"/>
    </row>
    <row r="54" spans="2:9" s="184" customFormat="1" ht="13.5">
      <c r="B54" s="214"/>
      <c r="C54" s="212"/>
      <c r="D54" s="213"/>
      <c r="E54" s="213"/>
      <c r="F54" s="213"/>
      <c r="G54" s="213"/>
      <c r="H54" s="214"/>
      <c r="I54" s="213"/>
    </row>
    <row r="55" spans="2:9" s="184" customFormat="1" ht="13.5">
      <c r="B55" s="214"/>
      <c r="C55" s="212"/>
      <c r="D55" s="213"/>
      <c r="E55" s="213"/>
      <c r="F55" s="213"/>
      <c r="G55" s="213"/>
      <c r="H55" s="214"/>
      <c r="I55" s="213"/>
    </row>
    <row r="56" spans="2:9" s="184" customFormat="1" ht="13.5">
      <c r="B56" s="214"/>
      <c r="C56" s="212"/>
      <c r="D56" s="213"/>
      <c r="E56" s="213"/>
      <c r="F56" s="213"/>
      <c r="G56" s="213"/>
      <c r="H56" s="214"/>
      <c r="I56" s="213"/>
    </row>
    <row r="57" spans="2:9" s="184" customFormat="1" ht="13.5">
      <c r="B57" s="214"/>
      <c r="C57" s="212"/>
      <c r="D57" s="213"/>
      <c r="E57" s="213"/>
      <c r="F57" s="213"/>
      <c r="G57" s="213"/>
      <c r="H57" s="214"/>
      <c r="I57" s="213"/>
    </row>
    <row r="58" spans="2:9" s="184" customFormat="1" ht="13.5">
      <c r="B58" s="214"/>
      <c r="C58" s="212"/>
      <c r="D58" s="213"/>
      <c r="E58" s="213"/>
      <c r="F58" s="213"/>
      <c r="G58" s="213"/>
      <c r="H58" s="214"/>
      <c r="I58" s="213"/>
    </row>
    <row r="59" spans="2:9" s="184" customFormat="1" ht="13.5">
      <c r="B59" s="214"/>
      <c r="C59" s="212"/>
      <c r="D59" s="213"/>
      <c r="E59" s="213"/>
      <c r="F59" s="213"/>
      <c r="G59" s="213"/>
      <c r="H59" s="214"/>
      <c r="I59" s="213"/>
    </row>
    <row r="60" spans="2:9" s="184" customFormat="1" ht="13.5">
      <c r="B60" s="214"/>
      <c r="C60" s="212"/>
      <c r="D60" s="213"/>
      <c r="E60" s="213"/>
      <c r="F60" s="213"/>
      <c r="G60" s="213"/>
      <c r="H60" s="214"/>
      <c r="I60" s="213"/>
    </row>
    <row r="61" spans="2:9" s="184" customFormat="1" ht="13.5">
      <c r="B61" s="214"/>
      <c r="C61" s="212"/>
      <c r="D61" s="213"/>
      <c r="E61" s="213"/>
      <c r="F61" s="213"/>
      <c r="G61" s="213"/>
      <c r="H61" s="214"/>
      <c r="I61" s="213"/>
    </row>
    <row r="62" spans="2:9" s="184" customFormat="1" ht="13.5">
      <c r="B62" s="214"/>
      <c r="C62" s="212"/>
      <c r="D62" s="213"/>
      <c r="E62" s="213"/>
      <c r="F62" s="213"/>
      <c r="G62" s="213"/>
      <c r="H62" s="214"/>
      <c r="I62" s="213"/>
    </row>
    <row r="63" spans="2:9" s="184" customFormat="1" ht="13.5">
      <c r="B63" s="214"/>
      <c r="C63" s="212"/>
      <c r="D63" s="213"/>
      <c r="E63" s="213"/>
      <c r="F63" s="213"/>
      <c r="G63" s="213"/>
      <c r="H63" s="214"/>
      <c r="I63" s="213"/>
    </row>
    <row r="64" spans="2:9" s="184" customFormat="1" ht="13.5">
      <c r="B64" s="214"/>
      <c r="C64" s="212"/>
      <c r="D64" s="213"/>
      <c r="E64" s="213"/>
      <c r="F64" s="213"/>
      <c r="G64" s="213"/>
      <c r="H64" s="214"/>
      <c r="I64" s="213"/>
    </row>
    <row r="65" spans="2:9" s="184" customFormat="1" ht="13.5">
      <c r="B65" s="214"/>
      <c r="C65" s="212"/>
      <c r="D65" s="213"/>
      <c r="E65" s="213"/>
      <c r="F65" s="213"/>
      <c r="G65" s="213"/>
      <c r="H65" s="214"/>
      <c r="I65" s="213"/>
    </row>
    <row r="66" spans="2:9" s="184" customFormat="1" ht="13.5">
      <c r="B66" s="214"/>
      <c r="C66" s="212"/>
      <c r="D66" s="213"/>
      <c r="E66" s="213"/>
      <c r="F66" s="213"/>
      <c r="G66" s="213"/>
      <c r="H66" s="214"/>
      <c r="I66" s="213"/>
    </row>
    <row r="67" spans="2:9" s="184" customFormat="1" ht="13.5">
      <c r="B67" s="214"/>
      <c r="C67" s="212"/>
      <c r="D67" s="213"/>
      <c r="E67" s="213"/>
      <c r="F67" s="213"/>
      <c r="G67" s="213"/>
      <c r="H67" s="214"/>
      <c r="I67" s="213"/>
    </row>
    <row r="68" spans="2:9" s="184" customFormat="1" ht="13.5">
      <c r="B68" s="214"/>
      <c r="C68" s="212"/>
      <c r="D68" s="213"/>
      <c r="E68" s="213"/>
      <c r="F68" s="213"/>
      <c r="G68" s="213"/>
      <c r="H68" s="214"/>
      <c r="I68" s="213"/>
    </row>
    <row r="69" spans="2:9" s="184" customFormat="1" ht="13.5">
      <c r="B69" s="214"/>
      <c r="C69" s="212"/>
      <c r="D69" s="213"/>
      <c r="E69" s="213"/>
      <c r="F69" s="213"/>
      <c r="G69" s="213"/>
      <c r="H69" s="214"/>
      <c r="I69" s="213"/>
    </row>
    <row r="70" spans="2:9" s="184" customFormat="1" ht="13.5">
      <c r="B70" s="214"/>
      <c r="C70" s="212"/>
      <c r="D70" s="213"/>
      <c r="E70" s="213"/>
      <c r="F70" s="213"/>
      <c r="G70" s="213"/>
      <c r="H70" s="214"/>
      <c r="I70" s="213"/>
    </row>
    <row r="71" spans="2:9" s="184" customFormat="1" ht="13.5">
      <c r="B71" s="214"/>
      <c r="C71" s="212"/>
      <c r="D71" s="213"/>
      <c r="E71" s="213"/>
      <c r="F71" s="213"/>
      <c r="G71" s="213"/>
      <c r="H71" s="214"/>
      <c r="I71" s="213"/>
    </row>
    <row r="72" spans="2:9" s="184" customFormat="1" ht="13.5">
      <c r="B72" s="214"/>
      <c r="C72" s="212"/>
      <c r="D72" s="213"/>
      <c r="E72" s="213"/>
      <c r="F72" s="213"/>
      <c r="G72" s="213"/>
      <c r="H72" s="214"/>
      <c r="I72" s="213"/>
    </row>
    <row r="73" spans="2:9" s="184" customFormat="1" ht="13.5">
      <c r="B73" s="214"/>
      <c r="C73" s="212"/>
      <c r="D73" s="213"/>
      <c r="E73" s="213"/>
      <c r="F73" s="213"/>
      <c r="G73" s="213"/>
      <c r="H73" s="214"/>
      <c r="I73" s="213"/>
    </row>
    <row r="74" spans="2:9" s="184" customFormat="1" ht="13.5">
      <c r="B74" s="214"/>
      <c r="C74" s="212"/>
      <c r="D74" s="213"/>
      <c r="E74" s="213"/>
      <c r="F74" s="213"/>
      <c r="G74" s="213"/>
      <c r="H74" s="214"/>
      <c r="I74" s="213"/>
    </row>
    <row r="75" spans="2:9" s="184" customFormat="1" ht="13.5">
      <c r="B75" s="214"/>
      <c r="C75" s="212"/>
      <c r="D75" s="213"/>
      <c r="E75" s="213"/>
      <c r="F75" s="213"/>
      <c r="G75" s="213"/>
      <c r="H75" s="214"/>
      <c r="I75" s="213"/>
    </row>
    <row r="76" spans="2:9" s="184" customFormat="1" ht="13.5">
      <c r="B76" s="214"/>
      <c r="C76" s="212"/>
      <c r="D76" s="213"/>
      <c r="E76" s="213"/>
      <c r="F76" s="213"/>
      <c r="G76" s="213"/>
      <c r="H76" s="214"/>
      <c r="I76" s="213"/>
    </row>
    <row r="77" spans="2:9" s="184" customFormat="1" ht="13.5">
      <c r="B77" s="214"/>
      <c r="C77" s="212"/>
      <c r="D77" s="213"/>
      <c r="E77" s="213"/>
      <c r="F77" s="213"/>
      <c r="G77" s="213"/>
      <c r="H77" s="214"/>
      <c r="I77" s="213"/>
    </row>
    <row r="78" spans="2:9" s="184" customFormat="1" ht="13.5">
      <c r="B78" s="214"/>
      <c r="C78" s="212"/>
      <c r="D78" s="213"/>
      <c r="E78" s="213"/>
      <c r="F78" s="213"/>
      <c r="G78" s="213"/>
      <c r="H78" s="214"/>
      <c r="I78" s="213"/>
    </row>
    <row r="79" spans="2:9" s="184" customFormat="1" ht="13.5">
      <c r="B79" s="214"/>
      <c r="C79" s="212"/>
      <c r="D79" s="213"/>
      <c r="E79" s="213"/>
      <c r="F79" s="213"/>
      <c r="G79" s="213"/>
      <c r="H79" s="214"/>
      <c r="I79" s="213"/>
    </row>
    <row r="80" spans="2:9" s="184" customFormat="1" ht="13.5">
      <c r="B80" s="214"/>
      <c r="C80" s="212"/>
      <c r="D80" s="213"/>
      <c r="E80" s="213"/>
      <c r="F80" s="213"/>
      <c r="G80" s="213"/>
      <c r="H80" s="214"/>
      <c r="I80" s="213"/>
    </row>
    <row r="81" spans="2:9" s="184" customFormat="1" ht="13.5">
      <c r="B81" s="214"/>
      <c r="C81" s="212"/>
      <c r="D81" s="213"/>
      <c r="E81" s="213"/>
      <c r="F81" s="213"/>
      <c r="G81" s="213"/>
      <c r="H81" s="214"/>
      <c r="I81" s="213"/>
    </row>
    <row r="82" spans="2:9" s="184" customFormat="1" ht="13.5">
      <c r="B82" s="214"/>
      <c r="C82" s="212"/>
      <c r="D82" s="213"/>
      <c r="E82" s="213"/>
      <c r="F82" s="213"/>
      <c r="G82" s="213"/>
      <c r="H82" s="214"/>
      <c r="I82" s="213"/>
    </row>
    <row r="83" spans="2:9" s="184" customFormat="1" ht="13.5">
      <c r="B83" s="214"/>
      <c r="C83" s="212"/>
      <c r="D83" s="213"/>
      <c r="E83" s="213"/>
      <c r="F83" s="213"/>
      <c r="G83" s="213"/>
      <c r="H83" s="214"/>
      <c r="I83" s="213"/>
    </row>
    <row r="84" spans="2:9" s="184" customFormat="1" ht="13.5">
      <c r="B84" s="214"/>
      <c r="C84" s="212"/>
      <c r="D84" s="213"/>
      <c r="E84" s="213"/>
      <c r="F84" s="213"/>
      <c r="G84" s="213"/>
      <c r="H84" s="214"/>
      <c r="I84" s="213"/>
    </row>
    <row r="85" spans="2:9" s="184" customFormat="1" ht="13.5">
      <c r="B85" s="214"/>
      <c r="C85" s="212"/>
      <c r="D85" s="213"/>
      <c r="E85" s="213"/>
      <c r="F85" s="213"/>
      <c r="G85" s="213"/>
      <c r="H85" s="214"/>
      <c r="I85" s="213"/>
    </row>
    <row r="86" spans="2:9" s="184" customFormat="1" ht="13.5">
      <c r="B86" s="214"/>
      <c r="C86" s="212"/>
      <c r="D86" s="213"/>
      <c r="E86" s="213"/>
      <c r="F86" s="213"/>
      <c r="G86" s="213"/>
      <c r="H86" s="214"/>
      <c r="I86" s="213"/>
    </row>
    <row r="87" spans="2:9" s="184" customFormat="1" ht="13.5">
      <c r="B87" s="214"/>
      <c r="C87" s="212"/>
      <c r="D87" s="213"/>
      <c r="E87" s="213"/>
      <c r="F87" s="213"/>
      <c r="G87" s="213"/>
      <c r="H87" s="214"/>
      <c r="I87" s="213"/>
    </row>
    <row r="88" spans="2:9" s="184" customFormat="1" ht="13.5">
      <c r="B88" s="214"/>
      <c r="C88" s="212"/>
      <c r="D88" s="213"/>
      <c r="E88" s="213"/>
      <c r="F88" s="213"/>
      <c r="G88" s="213"/>
      <c r="H88" s="214"/>
      <c r="I88" s="213"/>
    </row>
    <row r="89" spans="2:9" s="184" customFormat="1" ht="13.5">
      <c r="B89" s="214"/>
      <c r="C89" s="212"/>
      <c r="D89" s="213"/>
      <c r="E89" s="213"/>
      <c r="F89" s="213"/>
      <c r="G89" s="213"/>
      <c r="H89" s="214"/>
      <c r="I89" s="213"/>
    </row>
    <row r="90" spans="2:9" s="184" customFormat="1" ht="13.5">
      <c r="B90" s="214"/>
      <c r="C90" s="212"/>
      <c r="D90" s="213"/>
      <c r="E90" s="213"/>
      <c r="F90" s="213"/>
      <c r="G90" s="213"/>
      <c r="H90" s="214"/>
      <c r="I90" s="213"/>
    </row>
    <row r="91" spans="2:9" s="184" customFormat="1" ht="13.5">
      <c r="B91" s="214"/>
      <c r="C91" s="212"/>
      <c r="D91" s="213"/>
      <c r="E91" s="213"/>
      <c r="F91" s="213"/>
      <c r="G91" s="213"/>
      <c r="H91" s="214"/>
      <c r="I91" s="213"/>
    </row>
    <row r="92" spans="2:9" s="184" customFormat="1" ht="13.5">
      <c r="B92" s="214"/>
      <c r="C92" s="212"/>
      <c r="D92" s="213"/>
      <c r="E92" s="213"/>
      <c r="F92" s="213"/>
      <c r="G92" s="213"/>
      <c r="H92" s="214"/>
      <c r="I92" s="213"/>
    </row>
    <row r="93" spans="2:9" s="184" customFormat="1" ht="13.5">
      <c r="B93" s="214"/>
      <c r="C93" s="212"/>
      <c r="D93" s="213"/>
      <c r="E93" s="213"/>
      <c r="F93" s="213"/>
      <c r="G93" s="213"/>
      <c r="H93" s="214"/>
      <c r="I93" s="213"/>
    </row>
    <row r="94" spans="2:9" s="184" customFormat="1" ht="13.5">
      <c r="B94" s="214"/>
      <c r="C94" s="212"/>
      <c r="D94" s="213"/>
      <c r="E94" s="213"/>
      <c r="F94" s="213"/>
      <c r="G94" s="213"/>
      <c r="H94" s="214"/>
      <c r="I94" s="213"/>
    </row>
    <row r="95" spans="2:9" s="184" customFormat="1" ht="13.5">
      <c r="B95" s="214"/>
      <c r="C95" s="212"/>
      <c r="D95" s="213"/>
      <c r="E95" s="213"/>
      <c r="F95" s="213"/>
      <c r="G95" s="213"/>
      <c r="H95" s="214"/>
      <c r="I95" s="213"/>
    </row>
    <row r="96" spans="2:9" s="184" customFormat="1" ht="13.5">
      <c r="B96" s="214"/>
      <c r="C96" s="212"/>
      <c r="D96" s="213"/>
      <c r="E96" s="213"/>
      <c r="F96" s="213"/>
      <c r="G96" s="213"/>
      <c r="H96" s="214"/>
      <c r="I96" s="213"/>
    </row>
    <row r="97" spans="2:9" s="184" customFormat="1" ht="13.5">
      <c r="B97" s="214"/>
      <c r="C97" s="212"/>
      <c r="D97" s="213"/>
      <c r="E97" s="213"/>
      <c r="F97" s="213"/>
      <c r="G97" s="213"/>
      <c r="H97" s="214"/>
      <c r="I97" s="213"/>
    </row>
    <row r="98" spans="2:9" s="184" customFormat="1" ht="13.5">
      <c r="B98" s="214"/>
      <c r="C98" s="212"/>
      <c r="D98" s="213"/>
      <c r="E98" s="213"/>
      <c r="F98" s="213"/>
      <c r="G98" s="213"/>
      <c r="H98" s="214"/>
      <c r="I98" s="213"/>
    </row>
    <row r="99" spans="2:9" s="184" customFormat="1" ht="13.5">
      <c r="B99" s="214"/>
      <c r="C99" s="212"/>
      <c r="D99" s="213"/>
      <c r="E99" s="213"/>
      <c r="F99" s="213"/>
      <c r="G99" s="213"/>
      <c r="H99" s="214"/>
      <c r="I99" s="213"/>
    </row>
    <row r="100" spans="2:9" s="184" customFormat="1" ht="13.5">
      <c r="B100" s="214"/>
      <c r="C100" s="212"/>
      <c r="D100" s="213"/>
      <c r="E100" s="213"/>
      <c r="F100" s="213"/>
      <c r="G100" s="213"/>
      <c r="H100" s="214"/>
      <c r="I100" s="213"/>
    </row>
    <row r="101" spans="2:9" s="184" customFormat="1" ht="13.5">
      <c r="B101" s="214"/>
      <c r="C101" s="212"/>
      <c r="D101" s="213"/>
      <c r="E101" s="213"/>
      <c r="F101" s="213"/>
      <c r="G101" s="213"/>
      <c r="H101" s="214"/>
      <c r="I101" s="213"/>
    </row>
    <row r="102" spans="2:9" s="184" customFormat="1" ht="13.5">
      <c r="B102" s="214"/>
      <c r="C102" s="212"/>
      <c r="D102" s="213"/>
      <c r="E102" s="213"/>
      <c r="F102" s="213"/>
      <c r="G102" s="213"/>
      <c r="H102" s="214"/>
      <c r="I102" s="213"/>
    </row>
    <row r="103" spans="2:9" s="184" customFormat="1" ht="13.5">
      <c r="B103" s="214"/>
      <c r="C103" s="212"/>
      <c r="D103" s="213"/>
      <c r="E103" s="213"/>
      <c r="F103" s="213"/>
      <c r="G103" s="213"/>
      <c r="H103" s="214"/>
      <c r="I103" s="213"/>
    </row>
    <row r="104" spans="2:9" s="184" customFormat="1" ht="13.5">
      <c r="B104" s="214"/>
      <c r="C104" s="212"/>
      <c r="D104" s="213"/>
      <c r="E104" s="213"/>
      <c r="F104" s="213"/>
      <c r="G104" s="213"/>
      <c r="H104" s="214"/>
      <c r="I104" s="213"/>
    </row>
    <row r="105" spans="2:9" s="184" customFormat="1" ht="13.5">
      <c r="B105" s="214"/>
      <c r="C105" s="212"/>
      <c r="D105" s="213"/>
      <c r="E105" s="213"/>
      <c r="F105" s="213"/>
      <c r="G105" s="213"/>
      <c r="H105" s="214"/>
      <c r="I105" s="213"/>
    </row>
    <row r="106" spans="2:9" s="184" customFormat="1" ht="13.5">
      <c r="B106" s="214"/>
      <c r="C106" s="212"/>
      <c r="D106" s="213"/>
      <c r="E106" s="213"/>
      <c r="F106" s="213"/>
      <c r="G106" s="213"/>
      <c r="H106" s="214"/>
      <c r="I106" s="213"/>
    </row>
    <row r="107" spans="2:9" s="184" customFormat="1" ht="13.5">
      <c r="B107" s="214"/>
      <c r="C107" s="212"/>
      <c r="D107" s="213"/>
      <c r="E107" s="213"/>
      <c r="F107" s="213"/>
      <c r="G107" s="213"/>
      <c r="H107" s="214"/>
      <c r="I107" s="213"/>
    </row>
    <row r="108" spans="2:9" s="184" customFormat="1" ht="13.5">
      <c r="B108" s="214"/>
      <c r="C108" s="212"/>
      <c r="D108" s="213"/>
      <c r="E108" s="213"/>
      <c r="F108" s="213"/>
      <c r="G108" s="213"/>
      <c r="H108" s="214"/>
      <c r="I108" s="213"/>
    </row>
    <row r="109" spans="2:9" s="184" customFormat="1" ht="13.5">
      <c r="B109" s="214"/>
      <c r="C109" s="212"/>
      <c r="D109" s="213"/>
      <c r="E109" s="213"/>
      <c r="F109" s="213"/>
      <c r="G109" s="213"/>
      <c r="H109" s="214"/>
      <c r="I109" s="213"/>
    </row>
    <row r="110" spans="2:9" s="184" customFormat="1" ht="13.5">
      <c r="B110" s="214"/>
      <c r="C110" s="212"/>
      <c r="D110" s="213"/>
      <c r="E110" s="213"/>
      <c r="F110" s="213"/>
      <c r="G110" s="213"/>
      <c r="H110" s="214"/>
      <c r="I110" s="213"/>
    </row>
    <row r="111" spans="2:9" s="184" customFormat="1" ht="13.5">
      <c r="B111" s="214"/>
      <c r="C111" s="212"/>
      <c r="D111" s="213"/>
      <c r="E111" s="213"/>
      <c r="F111" s="213"/>
      <c r="G111" s="213"/>
      <c r="H111" s="214"/>
      <c r="I111" s="213"/>
    </row>
    <row r="112" spans="2:9" s="184" customFormat="1" ht="13.5">
      <c r="B112" s="214"/>
      <c r="C112" s="212"/>
      <c r="D112" s="213"/>
      <c r="E112" s="213"/>
      <c r="F112" s="213"/>
      <c r="G112" s="213"/>
      <c r="H112" s="214"/>
      <c r="I112" s="213"/>
    </row>
    <row r="113" spans="2:9" s="184" customFormat="1" ht="13.5">
      <c r="B113" s="214"/>
      <c r="C113" s="212"/>
      <c r="D113" s="213"/>
      <c r="E113" s="213"/>
      <c r="F113" s="213"/>
      <c r="G113" s="213"/>
      <c r="H113" s="214"/>
      <c r="I113" s="213"/>
    </row>
    <row r="114" spans="2:9" s="184" customFormat="1" ht="13.5">
      <c r="B114" s="214"/>
      <c r="C114" s="212"/>
      <c r="D114" s="213"/>
      <c r="E114" s="213"/>
      <c r="F114" s="213"/>
      <c r="G114" s="213"/>
      <c r="H114" s="214"/>
      <c r="I114" s="213"/>
    </row>
    <row r="115" spans="2:9" s="184" customFormat="1" ht="13.5">
      <c r="B115" s="214"/>
      <c r="C115" s="212"/>
      <c r="D115" s="213"/>
      <c r="E115" s="213"/>
      <c r="F115" s="213"/>
      <c r="G115" s="213"/>
      <c r="H115" s="214"/>
      <c r="I115" s="213"/>
    </row>
    <row r="116" spans="2:9" s="184" customFormat="1" ht="13.5">
      <c r="B116" s="214"/>
      <c r="C116" s="212"/>
      <c r="D116" s="213"/>
      <c r="E116" s="213"/>
      <c r="F116" s="213"/>
      <c r="G116" s="213"/>
      <c r="H116" s="214"/>
      <c r="I116" s="213"/>
    </row>
    <row r="117" spans="2:9" s="184" customFormat="1" ht="13.5">
      <c r="B117" s="214"/>
      <c r="C117" s="212"/>
      <c r="D117" s="213"/>
      <c r="E117" s="213"/>
      <c r="F117" s="213"/>
      <c r="G117" s="213"/>
      <c r="H117" s="214"/>
      <c r="I117" s="213"/>
    </row>
    <row r="118" spans="2:9" s="184" customFormat="1" ht="13.5">
      <c r="B118" s="214"/>
      <c r="C118" s="212"/>
      <c r="D118" s="213"/>
      <c r="E118" s="213"/>
      <c r="F118" s="213"/>
      <c r="G118" s="213"/>
      <c r="H118" s="214"/>
      <c r="I118" s="213"/>
    </row>
    <row r="119" spans="2:9" s="184" customFormat="1" ht="13.5">
      <c r="B119" s="214"/>
      <c r="C119" s="212"/>
      <c r="D119" s="213"/>
      <c r="E119" s="213"/>
      <c r="F119" s="213"/>
      <c r="G119" s="213"/>
      <c r="H119" s="214"/>
      <c r="I119" s="213"/>
    </row>
    <row r="120" spans="2:9" s="184" customFormat="1" ht="13.5">
      <c r="B120" s="214"/>
      <c r="C120" s="212"/>
      <c r="D120" s="213"/>
      <c r="E120" s="213"/>
      <c r="F120" s="213"/>
      <c r="G120" s="213"/>
      <c r="H120" s="214"/>
      <c r="I120" s="213"/>
    </row>
    <row r="121" spans="2:9" s="184" customFormat="1" ht="13.5">
      <c r="B121" s="214"/>
      <c r="C121" s="212"/>
      <c r="D121" s="213"/>
      <c r="E121" s="213"/>
      <c r="F121" s="213"/>
      <c r="G121" s="213"/>
      <c r="H121" s="214"/>
      <c r="I121" s="213"/>
    </row>
    <row r="122" spans="2:9" s="184" customFormat="1" ht="13.5">
      <c r="B122" s="214"/>
      <c r="C122" s="212"/>
      <c r="D122" s="213"/>
      <c r="E122" s="213"/>
      <c r="F122" s="213"/>
      <c r="G122" s="213"/>
      <c r="H122" s="214"/>
      <c r="I122" s="213"/>
    </row>
    <row r="123" spans="2:9" s="184" customFormat="1" ht="13.5">
      <c r="B123" s="214"/>
      <c r="C123" s="212"/>
      <c r="D123" s="213"/>
      <c r="E123" s="213"/>
      <c r="F123" s="213"/>
      <c r="G123" s="213"/>
      <c r="H123" s="214"/>
      <c r="I123" s="213"/>
    </row>
    <row r="124" spans="2:9" s="184" customFormat="1" ht="13.5">
      <c r="B124" s="214"/>
      <c r="C124" s="212"/>
      <c r="D124" s="213"/>
      <c r="E124" s="213"/>
      <c r="F124" s="213"/>
      <c r="G124" s="213"/>
      <c r="H124" s="214"/>
      <c r="I124" s="213"/>
    </row>
    <row r="125" spans="2:9" s="184" customFormat="1" ht="13.5">
      <c r="B125" s="214"/>
      <c r="C125" s="212"/>
      <c r="D125" s="213"/>
      <c r="E125" s="213"/>
      <c r="F125" s="213"/>
      <c r="G125" s="213"/>
      <c r="H125" s="214"/>
      <c r="I125" s="213"/>
    </row>
    <row r="126" spans="2:9" s="184" customFormat="1" ht="13.5">
      <c r="B126" s="214"/>
      <c r="C126" s="212"/>
      <c r="D126" s="213"/>
      <c r="E126" s="213"/>
      <c r="F126" s="213"/>
      <c r="G126" s="213"/>
      <c r="H126" s="214"/>
      <c r="I126" s="213"/>
    </row>
    <row r="127" spans="2:9" s="184" customFormat="1" ht="13.5">
      <c r="B127" s="214"/>
      <c r="C127" s="212"/>
      <c r="D127" s="213"/>
      <c r="E127" s="213"/>
      <c r="F127" s="213"/>
      <c r="G127" s="213"/>
      <c r="H127" s="214"/>
      <c r="I127" s="213"/>
    </row>
    <row r="128" spans="2:9" s="184" customFormat="1" ht="13.5">
      <c r="B128" s="214"/>
      <c r="C128" s="212"/>
      <c r="D128" s="213"/>
      <c r="E128" s="213"/>
      <c r="F128" s="213"/>
      <c r="G128" s="213"/>
      <c r="H128" s="214"/>
      <c r="I128" s="213"/>
    </row>
    <row r="129" spans="2:9" s="184" customFormat="1" ht="13.5">
      <c r="B129" s="214"/>
      <c r="C129" s="212"/>
      <c r="D129" s="213"/>
      <c r="E129" s="213"/>
      <c r="F129" s="213"/>
      <c r="G129" s="213"/>
      <c r="H129" s="214"/>
      <c r="I129" s="213"/>
    </row>
    <row r="130" spans="2:9" s="184" customFormat="1" ht="13.5">
      <c r="B130" s="214"/>
      <c r="C130" s="212"/>
      <c r="D130" s="213"/>
      <c r="E130" s="213"/>
      <c r="F130" s="213"/>
      <c r="G130" s="213"/>
      <c r="H130" s="214"/>
      <c r="I130" s="213"/>
    </row>
    <row r="131" spans="2:9" s="184" customFormat="1" ht="13.5">
      <c r="B131" s="214"/>
      <c r="C131" s="212"/>
      <c r="D131" s="213"/>
      <c r="E131" s="213"/>
      <c r="F131" s="213"/>
      <c r="G131" s="213"/>
      <c r="H131" s="214"/>
      <c r="I131" s="213"/>
    </row>
    <row r="132" spans="2:9" s="184" customFormat="1" ht="13.5">
      <c r="B132" s="214"/>
      <c r="C132" s="212"/>
      <c r="D132" s="213"/>
      <c r="E132" s="213"/>
      <c r="F132" s="213"/>
      <c r="G132" s="213"/>
      <c r="H132" s="214"/>
      <c r="I132" s="213"/>
    </row>
    <row r="133" spans="2:9" s="184" customFormat="1" ht="13.5">
      <c r="B133" s="214"/>
      <c r="C133" s="212"/>
      <c r="D133" s="213"/>
      <c r="E133" s="213"/>
      <c r="F133" s="213"/>
      <c r="G133" s="213"/>
      <c r="H133" s="214"/>
      <c r="I133" s="213"/>
    </row>
    <row r="134" spans="2:9" s="184" customFormat="1" ht="13.5">
      <c r="B134" s="214"/>
      <c r="C134" s="212"/>
      <c r="D134" s="213"/>
      <c r="E134" s="213"/>
      <c r="F134" s="213"/>
      <c r="G134" s="213"/>
      <c r="H134" s="214"/>
      <c r="I134" s="213"/>
    </row>
    <row r="135" spans="2:9" s="184" customFormat="1" ht="13.5">
      <c r="B135" s="214"/>
      <c r="C135" s="212"/>
      <c r="D135" s="213"/>
      <c r="E135" s="213"/>
      <c r="F135" s="213"/>
      <c r="G135" s="213"/>
      <c r="H135" s="214"/>
      <c r="I135" s="213"/>
    </row>
    <row r="136" spans="2:9" s="184" customFormat="1" ht="13.5">
      <c r="B136" s="214"/>
      <c r="C136" s="212"/>
      <c r="D136" s="213"/>
      <c r="E136" s="213"/>
      <c r="F136" s="213"/>
      <c r="G136" s="213"/>
      <c r="H136" s="214"/>
      <c r="I136" s="213"/>
    </row>
    <row r="137" spans="2:9" s="184" customFormat="1" ht="13.5">
      <c r="B137" s="214"/>
      <c r="C137" s="212"/>
      <c r="D137" s="213"/>
      <c r="E137" s="213"/>
      <c r="F137" s="213"/>
      <c r="G137" s="213"/>
      <c r="H137" s="214"/>
      <c r="I137" s="213"/>
    </row>
    <row r="138" spans="2:9" s="184" customFormat="1" ht="13.5">
      <c r="B138" s="214"/>
      <c r="C138" s="212"/>
      <c r="D138" s="213"/>
      <c r="E138" s="213"/>
      <c r="F138" s="213"/>
      <c r="G138" s="213"/>
      <c r="H138" s="214"/>
      <c r="I138" s="213"/>
    </row>
    <row r="139" spans="2:9" s="184" customFormat="1" ht="13.5">
      <c r="B139" s="214"/>
      <c r="C139" s="212"/>
      <c r="D139" s="213"/>
      <c r="E139" s="213"/>
      <c r="F139" s="213"/>
      <c r="G139" s="213"/>
      <c r="H139" s="214"/>
      <c r="I139" s="213"/>
    </row>
    <row r="140" spans="2:9" s="184" customFormat="1" ht="13.5">
      <c r="B140" s="214"/>
      <c r="C140" s="212"/>
      <c r="D140" s="213"/>
      <c r="E140" s="213"/>
      <c r="F140" s="213"/>
      <c r="G140" s="213"/>
      <c r="H140" s="214"/>
      <c r="I140" s="213"/>
    </row>
    <row r="141" spans="2:9" s="184" customFormat="1" ht="13.5">
      <c r="B141" s="214"/>
      <c r="C141" s="212"/>
      <c r="D141" s="213"/>
      <c r="E141" s="213"/>
      <c r="F141" s="213"/>
      <c r="G141" s="213"/>
      <c r="H141" s="214"/>
      <c r="I141" s="213"/>
    </row>
    <row r="142" spans="2:9" s="184" customFormat="1" ht="13.5">
      <c r="B142" s="214"/>
      <c r="C142" s="212"/>
      <c r="D142" s="213"/>
      <c r="E142" s="213"/>
      <c r="F142" s="213"/>
      <c r="G142" s="213"/>
      <c r="H142" s="214"/>
      <c r="I142" s="213"/>
    </row>
    <row r="143" spans="2:9" s="184" customFormat="1" ht="13.5">
      <c r="B143" s="214"/>
      <c r="C143" s="212"/>
      <c r="D143" s="213"/>
      <c r="E143" s="213"/>
      <c r="F143" s="213"/>
      <c r="G143" s="213"/>
      <c r="H143" s="214"/>
      <c r="I143" s="213"/>
    </row>
    <row r="144" spans="2:9" s="184" customFormat="1" ht="13.5">
      <c r="B144" s="214"/>
      <c r="C144" s="212"/>
      <c r="D144" s="213"/>
      <c r="E144" s="213"/>
      <c r="F144" s="213"/>
      <c r="G144" s="213"/>
      <c r="H144" s="214"/>
      <c r="I144" s="213"/>
    </row>
    <row r="145" spans="2:9" s="184" customFormat="1" ht="13.5">
      <c r="B145" s="214"/>
      <c r="C145" s="212"/>
      <c r="D145" s="213"/>
      <c r="E145" s="213"/>
      <c r="F145" s="213"/>
      <c r="G145" s="213"/>
      <c r="H145" s="214"/>
      <c r="I145" s="213"/>
    </row>
    <row r="146" spans="2:9" s="184" customFormat="1" ht="13.5">
      <c r="B146" s="214"/>
      <c r="C146" s="212"/>
      <c r="D146" s="213"/>
      <c r="E146" s="213"/>
      <c r="F146" s="213"/>
      <c r="G146" s="213"/>
      <c r="H146" s="214"/>
      <c r="I146" s="213"/>
    </row>
    <row r="147" spans="2:9" s="184" customFormat="1" ht="13.5">
      <c r="B147" s="214"/>
      <c r="C147" s="212"/>
      <c r="D147" s="213"/>
      <c r="E147" s="213"/>
      <c r="F147" s="213"/>
      <c r="G147" s="213"/>
      <c r="H147" s="214"/>
      <c r="I147" s="213"/>
    </row>
    <row r="148" spans="2:9" s="184" customFormat="1" ht="13.5">
      <c r="B148" s="214"/>
      <c r="C148" s="212"/>
      <c r="D148" s="213"/>
      <c r="E148" s="213"/>
      <c r="F148" s="213"/>
      <c r="G148" s="213"/>
      <c r="H148" s="214"/>
      <c r="I148" s="213"/>
    </row>
    <row r="149" spans="2:9" s="184" customFormat="1" ht="13.5">
      <c r="B149" s="214"/>
      <c r="C149" s="212"/>
      <c r="D149" s="213"/>
      <c r="E149" s="213"/>
      <c r="F149" s="213"/>
      <c r="G149" s="213"/>
      <c r="H149" s="214"/>
      <c r="I149" s="213"/>
    </row>
    <row r="150" spans="2:9" s="184" customFormat="1" ht="13.5">
      <c r="B150" s="214"/>
      <c r="C150" s="212"/>
      <c r="D150" s="213"/>
      <c r="E150" s="213"/>
      <c r="F150" s="213"/>
      <c r="G150" s="213"/>
      <c r="H150" s="214"/>
      <c r="I150" s="213"/>
    </row>
    <row r="151" spans="2:9" s="184" customFormat="1" ht="13.5">
      <c r="B151" s="214"/>
      <c r="C151" s="212"/>
      <c r="D151" s="213"/>
      <c r="E151" s="213"/>
      <c r="F151" s="213"/>
      <c r="G151" s="213"/>
      <c r="H151" s="214"/>
      <c r="I151" s="213"/>
    </row>
    <row r="152" spans="2:9" s="184" customFormat="1" ht="13.5">
      <c r="B152" s="214"/>
      <c r="C152" s="212"/>
      <c r="D152" s="213"/>
      <c r="E152" s="213"/>
      <c r="F152" s="213"/>
      <c r="G152" s="213"/>
      <c r="H152" s="214"/>
      <c r="I152" s="213"/>
    </row>
    <row r="153" spans="2:9" s="184" customFormat="1" ht="13.5">
      <c r="B153" s="214"/>
      <c r="C153" s="212"/>
      <c r="D153" s="213"/>
      <c r="E153" s="213"/>
      <c r="F153" s="213"/>
      <c r="G153" s="213"/>
      <c r="H153" s="214"/>
      <c r="I153" s="213"/>
    </row>
    <row r="154" spans="2:9" s="184" customFormat="1" ht="13.5">
      <c r="B154" s="214"/>
      <c r="C154" s="212"/>
      <c r="D154" s="213"/>
      <c r="E154" s="213"/>
      <c r="F154" s="213"/>
      <c r="G154" s="213"/>
      <c r="H154" s="214"/>
      <c r="I154" s="213"/>
    </row>
    <row r="155" spans="2:9" s="184" customFormat="1" ht="13.5">
      <c r="B155" s="214"/>
      <c r="C155" s="212"/>
      <c r="D155" s="213"/>
      <c r="E155" s="213"/>
      <c r="F155" s="213"/>
      <c r="G155" s="213"/>
      <c r="H155" s="214"/>
      <c r="I155" s="213"/>
    </row>
    <row r="156" spans="2:9" s="184" customFormat="1" ht="13.5">
      <c r="B156" s="214"/>
      <c r="C156" s="212"/>
      <c r="D156" s="213"/>
      <c r="E156" s="213"/>
      <c r="F156" s="213"/>
      <c r="G156" s="213"/>
      <c r="H156" s="214"/>
      <c r="I156" s="213"/>
    </row>
    <row r="157" spans="2:9" s="184" customFormat="1" ht="13.5">
      <c r="B157" s="214"/>
      <c r="C157" s="212"/>
      <c r="D157" s="213"/>
      <c r="E157" s="213"/>
      <c r="F157" s="213"/>
      <c r="G157" s="213"/>
      <c r="H157" s="214"/>
      <c r="I157" s="213"/>
    </row>
    <row r="158" spans="2:9" s="184" customFormat="1" ht="13.5">
      <c r="B158" s="214"/>
      <c r="C158" s="212"/>
      <c r="D158" s="213"/>
      <c r="E158" s="213"/>
      <c r="F158" s="213"/>
      <c r="G158" s="213"/>
      <c r="H158" s="214"/>
      <c r="I158" s="213"/>
    </row>
    <row r="159" spans="2:9" s="184" customFormat="1" ht="13.5">
      <c r="B159" s="214"/>
      <c r="C159" s="212"/>
      <c r="D159" s="213"/>
      <c r="E159" s="213"/>
      <c r="F159" s="213"/>
      <c r="G159" s="213"/>
      <c r="H159" s="214"/>
      <c r="I159" s="213"/>
    </row>
    <row r="160" spans="2:9" s="184" customFormat="1" ht="13.5">
      <c r="B160" s="214"/>
      <c r="C160" s="212"/>
      <c r="D160" s="213"/>
      <c r="E160" s="213"/>
      <c r="F160" s="213"/>
      <c r="G160" s="213"/>
      <c r="H160" s="214"/>
      <c r="I160" s="213"/>
    </row>
    <row r="161" spans="2:9" s="184" customFormat="1" ht="13.5">
      <c r="B161" s="214"/>
      <c r="C161" s="212"/>
      <c r="D161" s="213"/>
      <c r="E161" s="213"/>
      <c r="F161" s="213"/>
      <c r="G161" s="213"/>
      <c r="H161" s="214"/>
      <c r="I161" s="213"/>
    </row>
    <row r="162" spans="2:9" s="184" customFormat="1" ht="13.5">
      <c r="B162" s="214"/>
      <c r="C162" s="212"/>
      <c r="D162" s="213"/>
      <c r="E162" s="213"/>
      <c r="F162" s="213"/>
      <c r="G162" s="213"/>
      <c r="H162" s="214"/>
      <c r="I162" s="213"/>
    </row>
    <row r="163" spans="2:9" s="184" customFormat="1" ht="13.5">
      <c r="B163" s="214"/>
      <c r="C163" s="212"/>
      <c r="D163" s="213"/>
      <c r="E163" s="213"/>
      <c r="F163" s="213"/>
      <c r="G163" s="213"/>
      <c r="H163" s="214"/>
      <c r="I163" s="213"/>
    </row>
    <row r="164" spans="2:9" s="184" customFormat="1" ht="13.5">
      <c r="B164" s="214"/>
      <c r="C164" s="212"/>
      <c r="D164" s="213"/>
      <c r="E164" s="213"/>
      <c r="F164" s="213"/>
      <c r="G164" s="213"/>
      <c r="H164" s="214"/>
      <c r="I164" s="213"/>
    </row>
    <row r="165" spans="2:9" s="184" customFormat="1" ht="13.5">
      <c r="B165" s="214"/>
      <c r="C165" s="212"/>
      <c r="D165" s="213"/>
      <c r="E165" s="213"/>
      <c r="F165" s="213"/>
      <c r="G165" s="213"/>
      <c r="H165" s="214"/>
      <c r="I165" s="213"/>
    </row>
    <row r="166" spans="2:9" s="184" customFormat="1" ht="13.5">
      <c r="B166" s="214"/>
      <c r="C166" s="212"/>
      <c r="D166" s="213"/>
      <c r="E166" s="213"/>
      <c r="F166" s="213"/>
      <c r="G166" s="213"/>
      <c r="H166" s="214"/>
      <c r="I166" s="213"/>
    </row>
    <row r="167" spans="2:9" s="184" customFormat="1" ht="13.5">
      <c r="B167" s="214"/>
      <c r="C167" s="212"/>
      <c r="D167" s="213"/>
      <c r="E167" s="213"/>
      <c r="F167" s="213"/>
      <c r="G167" s="213"/>
      <c r="H167" s="214"/>
      <c r="I167" s="213"/>
    </row>
    <row r="168" spans="2:9" s="184" customFormat="1" ht="13.5">
      <c r="B168" s="214"/>
      <c r="C168" s="212"/>
      <c r="D168" s="213"/>
      <c r="E168" s="213"/>
      <c r="F168" s="213"/>
      <c r="G168" s="213"/>
      <c r="H168" s="214"/>
      <c r="I168" s="213"/>
    </row>
    <row r="169" spans="2:9" s="184" customFormat="1" ht="13.5">
      <c r="B169" s="214"/>
      <c r="C169" s="212"/>
      <c r="D169" s="213"/>
      <c r="E169" s="213"/>
      <c r="F169" s="213"/>
      <c r="G169" s="213"/>
      <c r="H169" s="214"/>
      <c r="I169" s="213"/>
    </row>
    <row r="170" spans="2:9" s="184" customFormat="1" ht="13.5">
      <c r="B170" s="214"/>
      <c r="C170" s="212"/>
      <c r="D170" s="213"/>
      <c r="E170" s="213"/>
      <c r="F170" s="213"/>
      <c r="G170" s="213"/>
      <c r="H170" s="214"/>
      <c r="I170" s="213"/>
    </row>
    <row r="171" spans="2:9" s="184" customFormat="1" ht="13.5">
      <c r="B171" s="214"/>
      <c r="C171" s="212"/>
      <c r="D171" s="213"/>
      <c r="E171" s="213"/>
      <c r="F171" s="213"/>
      <c r="G171" s="213"/>
      <c r="H171" s="214"/>
      <c r="I171" s="213"/>
    </row>
    <row r="172" spans="2:9" s="184" customFormat="1" ht="13.5">
      <c r="B172" s="214"/>
      <c r="C172" s="212"/>
      <c r="D172" s="213"/>
      <c r="E172" s="213"/>
      <c r="F172" s="213"/>
      <c r="G172" s="213"/>
      <c r="H172" s="214"/>
      <c r="I172" s="213"/>
    </row>
    <row r="173" spans="2:9" s="184" customFormat="1" ht="13.5">
      <c r="B173" s="214"/>
      <c r="C173" s="212"/>
      <c r="D173" s="213"/>
      <c r="E173" s="213"/>
      <c r="F173" s="213"/>
      <c r="G173" s="213"/>
      <c r="H173" s="214"/>
      <c r="I173" s="213"/>
    </row>
  </sheetData>
  <mergeCells count="1">
    <mergeCell ref="A25:B25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tabColor indexed="42"/>
  </sheetPr>
  <dimension ref="A1:G60"/>
  <sheetViews>
    <sheetView zoomScale="75" zoomScaleNormal="75" workbookViewId="0" topLeftCell="A1">
      <selection activeCell="M30" sqref="M30"/>
    </sheetView>
  </sheetViews>
  <sheetFormatPr defaultColWidth="9.00390625" defaultRowHeight="13.5"/>
  <cols>
    <col min="1" max="1" width="35.75390625" style="0" customWidth="1"/>
    <col min="2" max="4" width="10.625" style="0" customWidth="1"/>
    <col min="5" max="5" width="10.625" style="35" customWidth="1"/>
    <col min="6" max="7" width="10.375" style="28" customWidth="1"/>
  </cols>
  <sheetData>
    <row r="1" ht="18.75">
      <c r="A1" s="470" t="s">
        <v>192</v>
      </c>
    </row>
    <row r="3" spans="1:7" s="162" customFormat="1" ht="18">
      <c r="A3" s="165"/>
      <c r="B3" s="166"/>
      <c r="C3" s="166"/>
      <c r="D3" s="166"/>
      <c r="E3" s="166"/>
      <c r="F3" s="166"/>
      <c r="G3" s="238"/>
    </row>
    <row r="4" spans="1:7" s="152" customFormat="1" ht="18.75">
      <c r="A4" s="602" t="s">
        <v>193</v>
      </c>
      <c r="B4" s="603"/>
      <c r="C4" s="603"/>
      <c r="D4" s="603"/>
      <c r="E4" s="603"/>
      <c r="F4" s="603"/>
      <c r="G4" s="239"/>
    </row>
    <row r="5" spans="1:7" s="177" customFormat="1" ht="17.25">
      <c r="A5" s="605" t="s">
        <v>13</v>
      </c>
      <c r="B5" s="606"/>
      <c r="C5" s="606"/>
      <c r="D5" s="606"/>
      <c r="E5" s="606"/>
      <c r="F5" s="606"/>
      <c r="G5" s="240"/>
    </row>
    <row r="6" spans="1:7" s="152" customFormat="1" ht="17.25">
      <c r="A6" s="605" t="s">
        <v>14</v>
      </c>
      <c r="B6" s="606"/>
      <c r="C6" s="606"/>
      <c r="D6" s="606"/>
      <c r="E6" s="606"/>
      <c r="F6" s="606"/>
      <c r="G6" s="239"/>
    </row>
    <row r="7" spans="1:7" s="177" customFormat="1" ht="18">
      <c r="A7" s="167"/>
      <c r="B7" s="168"/>
      <c r="C7" s="168"/>
      <c r="D7" s="168"/>
      <c r="E7" s="168"/>
      <c r="F7" s="168"/>
      <c r="G7" s="241"/>
    </row>
    <row r="8" s="177" customFormat="1" ht="13.5"/>
    <row r="9" s="177" customFormat="1" ht="17.25">
      <c r="A9" s="137" t="s">
        <v>15</v>
      </c>
    </row>
    <row r="10" s="199" customFormat="1" ht="14.25">
      <c r="A10" s="469" t="s">
        <v>194</v>
      </c>
    </row>
    <row r="11" s="199" customFormat="1" ht="14.25">
      <c r="A11" s="472" t="s">
        <v>154</v>
      </c>
    </row>
    <row r="12" s="177" customFormat="1" ht="14.25">
      <c r="A12" s="199"/>
    </row>
    <row r="13" s="22" customFormat="1" ht="14.25">
      <c r="A13" s="199"/>
    </row>
    <row r="14" spans="1:2" ht="14.25" thickBot="1">
      <c r="A14" s="608" t="s">
        <v>196</v>
      </c>
      <c r="B14" s="608"/>
    </row>
    <row r="15" spans="1:7" ht="14.25" thickBot="1">
      <c r="A15" s="14" t="s">
        <v>22</v>
      </c>
      <c r="B15" s="600" t="s">
        <v>71</v>
      </c>
      <c r="C15" s="601"/>
      <c r="D15" s="14" t="s">
        <v>30</v>
      </c>
      <c r="E15" s="29" t="s">
        <v>19</v>
      </c>
      <c r="F15" s="576" t="s">
        <v>31</v>
      </c>
      <c r="G15" s="577"/>
    </row>
    <row r="16" spans="1:7" ht="14.25" thickBot="1">
      <c r="A16" s="3"/>
      <c r="B16" s="55" t="s">
        <v>48</v>
      </c>
      <c r="C16" s="73" t="s">
        <v>49</v>
      </c>
      <c r="D16" s="15" t="s">
        <v>28</v>
      </c>
      <c r="E16" s="31" t="s">
        <v>29</v>
      </c>
      <c r="F16" s="55" t="s">
        <v>48</v>
      </c>
      <c r="G16" s="56" t="s">
        <v>49</v>
      </c>
    </row>
    <row r="17" spans="1:7" ht="13.5">
      <c r="A17" s="155"/>
      <c r="B17" s="156" t="s">
        <v>72</v>
      </c>
      <c r="C17" s="157" t="s">
        <v>72</v>
      </c>
      <c r="D17" s="156" t="s">
        <v>72</v>
      </c>
      <c r="E17" s="158" t="s">
        <v>191</v>
      </c>
      <c r="F17" s="232" t="s">
        <v>191</v>
      </c>
      <c r="G17" s="233" t="s">
        <v>191</v>
      </c>
    </row>
    <row r="18" spans="1:7" ht="13.5">
      <c r="A18" s="146" t="s">
        <v>33</v>
      </c>
      <c r="B18" s="147">
        <v>2714120</v>
      </c>
      <c r="C18" s="98">
        <f>C20+C29</f>
        <v>2626084</v>
      </c>
      <c r="D18" s="146">
        <f>C18-B18</f>
        <v>-88036</v>
      </c>
      <c r="E18" s="149">
        <f>(C18/B18-1)*100</f>
        <v>-3.2436296110709972</v>
      </c>
      <c r="F18" s="236"/>
      <c r="G18" s="237"/>
    </row>
    <row r="19" spans="1:7" ht="13.5">
      <c r="A19" s="178"/>
      <c r="B19" s="188"/>
      <c r="C19" s="197"/>
      <c r="D19" s="178"/>
      <c r="E19" s="181"/>
      <c r="F19" s="234"/>
      <c r="G19" s="235"/>
    </row>
    <row r="20" spans="1:7" ht="13.5">
      <c r="A20" s="146" t="s">
        <v>94</v>
      </c>
      <c r="B20" s="147">
        <v>1532341</v>
      </c>
      <c r="C20" s="98">
        <f>SUM(C22:C27)</f>
        <v>1452874</v>
      </c>
      <c r="D20" s="146">
        <f>C20-B20</f>
        <v>-79467</v>
      </c>
      <c r="E20" s="149">
        <f>(C20/B20-1)*100</f>
        <v>-5.185986670068865</v>
      </c>
      <c r="F20" s="236">
        <v>100</v>
      </c>
      <c r="G20" s="237">
        <v>100</v>
      </c>
    </row>
    <row r="21" spans="1:7" ht="13.5">
      <c r="A21" s="178"/>
      <c r="B21" s="188"/>
      <c r="C21" s="197"/>
      <c r="D21" s="178"/>
      <c r="E21" s="181"/>
      <c r="F21" s="234"/>
      <c r="G21" s="235"/>
    </row>
    <row r="22" spans="1:7" ht="13.5">
      <c r="A22" s="178" t="s">
        <v>35</v>
      </c>
      <c r="B22" s="188">
        <v>15899</v>
      </c>
      <c r="C22" s="197">
        <v>17621</v>
      </c>
      <c r="D22" s="178">
        <f aca="true" t="shared" si="0" ref="D22:D27">C22-B22</f>
        <v>1722</v>
      </c>
      <c r="E22" s="181">
        <f aca="true" t="shared" si="1" ref="E22:E27">(C22/B22-1)*100</f>
        <v>10.830869866029303</v>
      </c>
      <c r="F22" s="234">
        <f aca="true" t="shared" si="2" ref="F22:F27">B22/1532341*100</f>
        <v>1.0375627879173108</v>
      </c>
      <c r="G22" s="235">
        <f aca="true" t="shared" si="3" ref="G22:G27">C22/1452873*100</f>
        <v>1.212838286622437</v>
      </c>
    </row>
    <row r="23" spans="1:7" ht="13.5">
      <c r="A23" s="178" t="s">
        <v>36</v>
      </c>
      <c r="B23" s="188">
        <v>16752</v>
      </c>
      <c r="C23" s="197">
        <v>13850</v>
      </c>
      <c r="D23" s="178">
        <f t="shared" si="0"/>
        <v>-2902</v>
      </c>
      <c r="E23" s="181">
        <f t="shared" si="1"/>
        <v>-17.32330468003821</v>
      </c>
      <c r="F23" s="234">
        <f t="shared" si="2"/>
        <v>1.0932292485810926</v>
      </c>
      <c r="G23" s="235">
        <f t="shared" si="3"/>
        <v>0.9532835973963313</v>
      </c>
    </row>
    <row r="24" spans="1:7" ht="13.5">
      <c r="A24" s="178" t="s">
        <v>37</v>
      </c>
      <c r="B24" s="188">
        <v>650519</v>
      </c>
      <c r="C24" s="197">
        <v>614497</v>
      </c>
      <c r="D24" s="178">
        <f t="shared" si="0"/>
        <v>-36022</v>
      </c>
      <c r="E24" s="181">
        <f t="shared" si="1"/>
        <v>-5.537424733174589</v>
      </c>
      <c r="F24" s="234">
        <f t="shared" si="2"/>
        <v>42.452626406263356</v>
      </c>
      <c r="G24" s="235">
        <f t="shared" si="3"/>
        <v>42.29530041510854</v>
      </c>
    </row>
    <row r="25" spans="1:7" ht="13.5">
      <c r="A25" s="178" t="s">
        <v>63</v>
      </c>
      <c r="B25" s="188">
        <v>323207</v>
      </c>
      <c r="C25" s="197">
        <v>319784</v>
      </c>
      <c r="D25" s="178">
        <f t="shared" si="0"/>
        <v>-3423</v>
      </c>
      <c r="E25" s="181">
        <f t="shared" si="1"/>
        <v>-1.0590735967971</v>
      </c>
      <c r="F25" s="234">
        <f t="shared" si="2"/>
        <v>21.092367821522757</v>
      </c>
      <c r="G25" s="235">
        <f t="shared" si="3"/>
        <v>22.010457899623713</v>
      </c>
    </row>
    <row r="26" spans="1:7" ht="13.5">
      <c r="A26" s="178" t="s">
        <v>40</v>
      </c>
      <c r="B26" s="188">
        <v>282206</v>
      </c>
      <c r="C26" s="197">
        <v>264409</v>
      </c>
      <c r="D26" s="178">
        <f t="shared" si="0"/>
        <v>-17797</v>
      </c>
      <c r="E26" s="181">
        <f t="shared" si="1"/>
        <v>-6.306386115107399</v>
      </c>
      <c r="F26" s="234">
        <f t="shared" si="2"/>
        <v>18.41665791100023</v>
      </c>
      <c r="G26" s="235">
        <f t="shared" si="3"/>
        <v>18.19904423855354</v>
      </c>
    </row>
    <row r="27" spans="1:7" ht="13.5">
      <c r="A27" s="178" t="s">
        <v>41</v>
      </c>
      <c r="B27" s="188">
        <v>243758</v>
      </c>
      <c r="C27" s="197">
        <v>222713</v>
      </c>
      <c r="D27" s="178">
        <f t="shared" si="0"/>
        <v>-21045</v>
      </c>
      <c r="E27" s="181">
        <f t="shared" si="1"/>
        <v>-8.633562795887729</v>
      </c>
      <c r="F27" s="234">
        <f t="shared" si="2"/>
        <v>15.907555824715255</v>
      </c>
      <c r="G27" s="235">
        <f t="shared" si="3"/>
        <v>15.329144391836039</v>
      </c>
    </row>
    <row r="28" spans="1:7" ht="13.5">
      <c r="A28" s="178"/>
      <c r="B28" s="188"/>
      <c r="C28" s="197"/>
      <c r="D28" s="178"/>
      <c r="E28" s="181"/>
      <c r="F28" s="234"/>
      <c r="G28" s="235"/>
    </row>
    <row r="29" spans="1:7" ht="13.5">
      <c r="A29" s="146" t="s">
        <v>43</v>
      </c>
      <c r="B29" s="147">
        <v>1181779</v>
      </c>
      <c r="C29" s="98">
        <f>SUM(C31:C36)</f>
        <v>1173210</v>
      </c>
      <c r="D29" s="146">
        <f>C29-B29</f>
        <v>-8569</v>
      </c>
      <c r="E29" s="149">
        <f>(C29/B29-1)*100</f>
        <v>-0.725093270399968</v>
      </c>
      <c r="F29" s="236">
        <v>100</v>
      </c>
      <c r="G29" s="237">
        <v>100</v>
      </c>
    </row>
    <row r="30" spans="1:7" ht="13.5">
      <c r="A30" s="178"/>
      <c r="B30" s="188"/>
      <c r="C30" s="197"/>
      <c r="D30" s="178"/>
      <c r="E30" s="181"/>
      <c r="F30" s="234"/>
      <c r="G30" s="235"/>
    </row>
    <row r="31" spans="1:7" ht="13.5">
      <c r="A31" s="178" t="s">
        <v>44</v>
      </c>
      <c r="B31" s="188">
        <v>95919</v>
      </c>
      <c r="C31" s="197">
        <v>85303</v>
      </c>
      <c r="D31" s="178">
        <f aca="true" t="shared" si="4" ref="D31:D36">C31-B31</f>
        <v>-10616</v>
      </c>
      <c r="E31" s="181">
        <f aca="true" t="shared" si="5" ref="E31:E36">(C31/B31-1)*100</f>
        <v>-11.06767168131444</v>
      </c>
      <c r="F31" s="234">
        <f aca="true" t="shared" si="6" ref="F31:F36">B31/1181779*100</f>
        <v>8.116492169855785</v>
      </c>
      <c r="G31" s="235">
        <f aca="true" t="shared" si="7" ref="G31:G36">C31/1173210*100</f>
        <v>7.27090631685717</v>
      </c>
    </row>
    <row r="32" spans="1:7" ht="13.5">
      <c r="A32" s="178" t="s">
        <v>62</v>
      </c>
      <c r="B32" s="188">
        <v>91956</v>
      </c>
      <c r="C32" s="197">
        <v>78401</v>
      </c>
      <c r="D32" s="178">
        <f t="shared" si="4"/>
        <v>-13555</v>
      </c>
      <c r="E32" s="181">
        <f t="shared" si="5"/>
        <v>-14.740745573970159</v>
      </c>
      <c r="F32" s="234">
        <f t="shared" si="6"/>
        <v>7.781150282751683</v>
      </c>
      <c r="G32" s="235">
        <f t="shared" si="7"/>
        <v>6.682605842091356</v>
      </c>
    </row>
    <row r="33" spans="1:7" ht="13.5">
      <c r="A33" s="178" t="s">
        <v>45</v>
      </c>
      <c r="B33" s="188">
        <v>395972</v>
      </c>
      <c r="C33" s="197">
        <v>407433</v>
      </c>
      <c r="D33" s="178">
        <f t="shared" si="4"/>
        <v>11461</v>
      </c>
      <c r="E33" s="181">
        <f t="shared" si="5"/>
        <v>2.894396573495106</v>
      </c>
      <c r="F33" s="234">
        <f t="shared" si="6"/>
        <v>33.50643394407922</v>
      </c>
      <c r="G33" s="235">
        <f t="shared" si="7"/>
        <v>34.72805380110977</v>
      </c>
    </row>
    <row r="34" spans="1:7" ht="13.5">
      <c r="A34" s="178" t="s">
        <v>46</v>
      </c>
      <c r="B34" s="188">
        <v>125697</v>
      </c>
      <c r="C34" s="197">
        <v>135301</v>
      </c>
      <c r="D34" s="178">
        <f t="shared" si="4"/>
        <v>9604</v>
      </c>
      <c r="E34" s="181">
        <f t="shared" si="5"/>
        <v>7.640596036500469</v>
      </c>
      <c r="F34" s="234">
        <f t="shared" si="6"/>
        <v>10.636252632683437</v>
      </c>
      <c r="G34" s="235">
        <f t="shared" si="7"/>
        <v>11.532547455272287</v>
      </c>
    </row>
    <row r="35" spans="1:7" ht="13.5">
      <c r="A35" s="178" t="s">
        <v>61</v>
      </c>
      <c r="B35" s="188">
        <v>81569</v>
      </c>
      <c r="C35" s="197">
        <v>85607</v>
      </c>
      <c r="D35" s="178">
        <f t="shared" si="4"/>
        <v>4038</v>
      </c>
      <c r="E35" s="181">
        <f t="shared" si="5"/>
        <v>4.950410082261647</v>
      </c>
      <c r="F35" s="234">
        <f t="shared" si="6"/>
        <v>6.902221142870197</v>
      </c>
      <c r="G35" s="235">
        <f t="shared" si="7"/>
        <v>7.296818131451317</v>
      </c>
    </row>
    <row r="36" spans="1:7" ht="13.5">
      <c r="A36" s="18" t="s">
        <v>47</v>
      </c>
      <c r="B36" s="19">
        <v>390666</v>
      </c>
      <c r="C36" s="20">
        <v>381165</v>
      </c>
      <c r="D36" s="18">
        <f t="shared" si="4"/>
        <v>-9501</v>
      </c>
      <c r="E36" s="33">
        <f t="shared" si="5"/>
        <v>-2.432000737202622</v>
      </c>
      <c r="F36" s="40">
        <f t="shared" si="6"/>
        <v>33.05744982775967</v>
      </c>
      <c r="G36" s="41">
        <f t="shared" si="7"/>
        <v>32.489068453218096</v>
      </c>
    </row>
    <row r="37" spans="1:7" ht="14.25" thickBot="1">
      <c r="A37" s="23"/>
      <c r="B37" s="24"/>
      <c r="C37" s="25"/>
      <c r="D37" s="23"/>
      <c r="E37" s="34"/>
      <c r="F37" s="36"/>
      <c r="G37" s="37"/>
    </row>
    <row r="38" spans="1:7" ht="13.5">
      <c r="A38" s="20"/>
      <c r="B38" s="20"/>
      <c r="C38" s="20"/>
      <c r="D38" s="20"/>
      <c r="E38" s="53"/>
      <c r="F38" s="74"/>
      <c r="G38" s="74"/>
    </row>
    <row r="40" spans="1:7" s="96" customFormat="1" ht="14.25">
      <c r="A40" s="198" t="s">
        <v>145</v>
      </c>
      <c r="E40" s="203"/>
      <c r="F40" s="251"/>
      <c r="G40" s="251"/>
    </row>
    <row r="41" spans="1:7" s="96" customFormat="1" ht="14.25">
      <c r="A41" s="204" t="s">
        <v>146</v>
      </c>
      <c r="E41" s="203"/>
      <c r="F41" s="251"/>
      <c r="G41" s="251"/>
    </row>
    <row r="42" spans="1:7" s="96" customFormat="1" ht="14.25">
      <c r="A42" s="463" t="s">
        <v>197</v>
      </c>
      <c r="E42" s="203"/>
      <c r="F42" s="251"/>
      <c r="G42" s="251"/>
    </row>
    <row r="43" spans="1:7" s="96" customFormat="1" ht="14.25">
      <c r="A43" s="463" t="s">
        <v>198</v>
      </c>
      <c r="E43" s="203"/>
      <c r="F43" s="251"/>
      <c r="G43" s="251"/>
    </row>
    <row r="44" spans="1:7" s="96" customFormat="1" ht="14.25">
      <c r="A44" s="463" t="s">
        <v>207</v>
      </c>
      <c r="E44" s="203"/>
      <c r="F44" s="251"/>
      <c r="G44" s="251"/>
    </row>
    <row r="45" spans="5:7" s="96" customFormat="1" ht="14.25">
      <c r="E45" s="203"/>
      <c r="F45" s="251"/>
      <c r="G45" s="251"/>
    </row>
    <row r="46" spans="1:7" s="96" customFormat="1" ht="14.25">
      <c r="A46" s="204" t="s">
        <v>199</v>
      </c>
      <c r="E46" s="203"/>
      <c r="F46" s="251"/>
      <c r="G46" s="251"/>
    </row>
    <row r="47" spans="1:7" s="96" customFormat="1" ht="14.25">
      <c r="A47" s="463" t="s">
        <v>200</v>
      </c>
      <c r="E47" s="203"/>
      <c r="F47" s="251"/>
      <c r="G47" s="251"/>
    </row>
    <row r="48" spans="1:7" s="96" customFormat="1" ht="14.25">
      <c r="A48" s="463" t="s">
        <v>208</v>
      </c>
      <c r="E48" s="203"/>
      <c r="F48" s="251"/>
      <c r="G48" s="251"/>
    </row>
    <row r="49" spans="5:7" s="96" customFormat="1" ht="14.25">
      <c r="E49" s="203"/>
      <c r="F49" s="251"/>
      <c r="G49" s="251"/>
    </row>
    <row r="50" spans="5:7" s="96" customFormat="1" ht="14.25">
      <c r="E50" s="203"/>
      <c r="F50" s="251"/>
      <c r="G50" s="251"/>
    </row>
    <row r="51" spans="1:7" s="96" customFormat="1" ht="14.25">
      <c r="A51" s="206" t="s">
        <v>152</v>
      </c>
      <c r="E51" s="203"/>
      <c r="F51" s="251"/>
      <c r="G51" s="251"/>
    </row>
    <row r="52" spans="1:7" s="96" customFormat="1" ht="14.25">
      <c r="A52" s="204" t="s">
        <v>146</v>
      </c>
      <c r="E52" s="203"/>
      <c r="F52" s="251"/>
      <c r="G52" s="251"/>
    </row>
    <row r="53" spans="1:7" s="96" customFormat="1" ht="14.25">
      <c r="A53" s="463" t="s">
        <v>201</v>
      </c>
      <c r="E53" s="203"/>
      <c r="F53" s="251"/>
      <c r="G53" s="251"/>
    </row>
    <row r="54" spans="1:7" s="96" customFormat="1" ht="14.25">
      <c r="A54" s="463" t="s">
        <v>202</v>
      </c>
      <c r="E54" s="203"/>
      <c r="F54" s="251"/>
      <c r="G54" s="251"/>
    </row>
    <row r="55" spans="1:7" s="96" customFormat="1" ht="14.25">
      <c r="A55" s="463" t="s">
        <v>203</v>
      </c>
      <c r="E55" s="203"/>
      <c r="F55" s="251"/>
      <c r="G55" s="251"/>
    </row>
    <row r="56" spans="5:7" s="96" customFormat="1" ht="14.25">
      <c r="E56" s="203"/>
      <c r="F56" s="251"/>
      <c r="G56" s="251"/>
    </row>
    <row r="57" spans="1:7" s="96" customFormat="1" ht="14.25">
      <c r="A57" s="204" t="s">
        <v>165</v>
      </c>
      <c r="E57" s="203"/>
      <c r="F57" s="251"/>
      <c r="G57" s="251"/>
    </row>
    <row r="58" spans="1:7" s="96" customFormat="1" ht="14.25">
      <c r="A58" s="463" t="s">
        <v>204</v>
      </c>
      <c r="E58" s="203"/>
      <c r="F58" s="251"/>
      <c r="G58" s="251"/>
    </row>
    <row r="59" spans="1:7" s="96" customFormat="1" ht="14.25">
      <c r="A59" s="463" t="s">
        <v>205</v>
      </c>
      <c r="E59" s="203"/>
      <c r="F59" s="251"/>
      <c r="G59" s="251"/>
    </row>
    <row r="60" spans="1:7" s="96" customFormat="1" ht="14.25">
      <c r="A60" s="463" t="s">
        <v>209</v>
      </c>
      <c r="E60" s="203"/>
      <c r="F60" s="251"/>
      <c r="G60" s="251"/>
    </row>
  </sheetData>
  <mergeCells count="6">
    <mergeCell ref="B15:C15"/>
    <mergeCell ref="F15:G15"/>
    <mergeCell ref="A4:F4"/>
    <mergeCell ref="A5:F5"/>
    <mergeCell ref="A6:F6"/>
    <mergeCell ref="A14:B14"/>
  </mergeCells>
  <printOptions/>
  <pageMargins left="0.75" right="0.75" top="1" bottom="1" header="0.512" footer="0.51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>
    <tabColor indexed="42"/>
  </sheetPr>
  <dimension ref="A1:G66"/>
  <sheetViews>
    <sheetView workbookViewId="0" topLeftCell="A1">
      <selection activeCell="H21" sqref="H21"/>
    </sheetView>
  </sheetViews>
  <sheetFormatPr defaultColWidth="9.00390625" defaultRowHeight="13.5"/>
  <cols>
    <col min="1" max="1" width="25.50390625" style="0" customWidth="1"/>
    <col min="2" max="2" width="10.625" style="0" customWidth="1"/>
    <col min="3" max="3" width="11.00390625" style="0" customWidth="1"/>
    <col min="4" max="4" width="12.00390625" style="35" customWidth="1"/>
    <col min="5" max="5" width="10.125" style="35" customWidth="1"/>
    <col min="6" max="6" width="9.375" style="35" customWidth="1"/>
  </cols>
  <sheetData>
    <row r="1" spans="1:3" ht="14.25" thickBot="1">
      <c r="A1" s="608" t="s">
        <v>206</v>
      </c>
      <c r="B1" s="608"/>
      <c r="C1" s="608"/>
    </row>
    <row r="2" spans="1:7" ht="14.25" thickBot="1">
      <c r="A2" s="2"/>
      <c r="B2" s="600" t="s">
        <v>71</v>
      </c>
      <c r="C2" s="601"/>
      <c r="D2" s="31" t="s">
        <v>59</v>
      </c>
      <c r="E2" s="578" t="s">
        <v>31</v>
      </c>
      <c r="F2" s="579"/>
      <c r="G2" s="1"/>
    </row>
    <row r="3" spans="1:7" s="187" customFormat="1" ht="14.25" thickBot="1">
      <c r="A3" s="175" t="s">
        <v>50</v>
      </c>
      <c r="B3" s="55" t="s">
        <v>48</v>
      </c>
      <c r="C3" s="73" t="s">
        <v>49</v>
      </c>
      <c r="D3" s="176" t="s">
        <v>64</v>
      </c>
      <c r="E3" s="55" t="s">
        <v>48</v>
      </c>
      <c r="F3" s="73" t="s">
        <v>49</v>
      </c>
      <c r="G3" s="171"/>
    </row>
    <row r="4" spans="1:7" s="187" customFormat="1" ht="13.5">
      <c r="A4" s="243"/>
      <c r="B4" s="244" t="s">
        <v>72</v>
      </c>
      <c r="C4" s="245" t="s">
        <v>72</v>
      </c>
      <c r="D4" s="246" t="s">
        <v>191</v>
      </c>
      <c r="E4" s="247" t="s">
        <v>191</v>
      </c>
      <c r="F4" s="248" t="s">
        <v>191</v>
      </c>
      <c r="G4" s="171"/>
    </row>
    <row r="5" spans="1:7" s="152" customFormat="1" ht="13.5">
      <c r="A5" s="146" t="s">
        <v>33</v>
      </c>
      <c r="B5" s="147">
        <f>SUM(B7:B14)</f>
        <v>2714120</v>
      </c>
      <c r="C5" s="196">
        <f>SUM(C7:C15)</f>
        <v>2626084</v>
      </c>
      <c r="D5" s="149">
        <f>(C5/B5-1)*100</f>
        <v>-3.2436296110709972</v>
      </c>
      <c r="E5" s="150">
        <v>100</v>
      </c>
      <c r="F5" s="151">
        <v>100</v>
      </c>
      <c r="G5" s="98"/>
    </row>
    <row r="6" spans="1:7" s="139" customFormat="1" ht="13.5">
      <c r="A6" s="135"/>
      <c r="B6" s="136"/>
      <c r="C6" s="249"/>
      <c r="D6" s="116"/>
      <c r="E6" s="117"/>
      <c r="F6" s="118"/>
      <c r="G6" s="154"/>
    </row>
    <row r="7" spans="1:7" s="139" customFormat="1" ht="13.5">
      <c r="A7" s="135" t="s">
        <v>51</v>
      </c>
      <c r="B7" s="136">
        <v>157001</v>
      </c>
      <c r="C7" s="249">
        <v>153912</v>
      </c>
      <c r="D7" s="116">
        <f aca="true" t="shared" si="0" ref="D7:D14">(C7/B7-1)*100</f>
        <v>-1.9675033916981444</v>
      </c>
      <c r="E7" s="117">
        <f>B7/2714120*100</f>
        <v>5.784600533506256</v>
      </c>
      <c r="F7" s="118">
        <f>C7/2626083*100</f>
        <v>5.860896247376797</v>
      </c>
      <c r="G7" s="154"/>
    </row>
    <row r="8" spans="1:7" s="139" customFormat="1" ht="13.5">
      <c r="A8" s="135" t="s">
        <v>52</v>
      </c>
      <c r="B8" s="136">
        <v>264975</v>
      </c>
      <c r="C8" s="249">
        <v>253697</v>
      </c>
      <c r="D8" s="116">
        <f t="shared" si="0"/>
        <v>-4.256250589678268</v>
      </c>
      <c r="E8" s="117">
        <f aca="true" t="shared" si="1" ref="E8:E14">B8/2714120*100</f>
        <v>9.762832888744786</v>
      </c>
      <c r="F8" s="118">
        <f aca="true" t="shared" si="2" ref="F8:F14">C8/2626083*100</f>
        <v>9.66066190596413</v>
      </c>
      <c r="G8" s="154"/>
    </row>
    <row r="9" spans="1:7" s="139" customFormat="1" ht="13.5">
      <c r="A9" s="135" t="s">
        <v>53</v>
      </c>
      <c r="B9" s="136">
        <v>550851</v>
      </c>
      <c r="C9" s="249">
        <v>537468</v>
      </c>
      <c r="D9" s="116">
        <f t="shared" si="0"/>
        <v>-2.4295136071278756</v>
      </c>
      <c r="E9" s="117">
        <f t="shared" si="1"/>
        <v>20.295749635240888</v>
      </c>
      <c r="F9" s="118">
        <f t="shared" si="2"/>
        <v>20.466527524072927</v>
      </c>
      <c r="G9" s="154"/>
    </row>
    <row r="10" spans="1:7" s="139" customFormat="1" ht="13.5">
      <c r="A10" s="135" t="s">
        <v>54</v>
      </c>
      <c r="B10" s="136">
        <v>552525</v>
      </c>
      <c r="C10" s="249">
        <v>606698</v>
      </c>
      <c r="D10" s="116">
        <f t="shared" si="0"/>
        <v>9.804624225148185</v>
      </c>
      <c r="E10" s="117">
        <f t="shared" si="1"/>
        <v>20.357427085022035</v>
      </c>
      <c r="F10" s="118">
        <f t="shared" si="2"/>
        <v>23.10277321775435</v>
      </c>
      <c r="G10" s="154"/>
    </row>
    <row r="11" spans="1:7" s="139" customFormat="1" ht="13.5">
      <c r="A11" s="135" t="s">
        <v>55</v>
      </c>
      <c r="B11" s="136">
        <v>290138</v>
      </c>
      <c r="C11" s="249">
        <v>272860</v>
      </c>
      <c r="D11" s="116">
        <f t="shared" si="0"/>
        <v>-5.955097229594197</v>
      </c>
      <c r="E11" s="117">
        <f t="shared" si="1"/>
        <v>10.689947386261476</v>
      </c>
      <c r="F11" s="118">
        <f t="shared" si="2"/>
        <v>10.390379892790898</v>
      </c>
      <c r="G11" s="154"/>
    </row>
    <row r="12" spans="1:7" s="139" customFormat="1" ht="13.5">
      <c r="A12" s="135" t="s">
        <v>56</v>
      </c>
      <c r="B12" s="136">
        <v>267470</v>
      </c>
      <c r="C12" s="249">
        <v>254313</v>
      </c>
      <c r="D12" s="116">
        <f t="shared" si="0"/>
        <v>-4.919056342767414</v>
      </c>
      <c r="E12" s="117">
        <f t="shared" si="1"/>
        <v>9.854759553741175</v>
      </c>
      <c r="F12" s="118">
        <f t="shared" si="2"/>
        <v>9.684118894947341</v>
      </c>
      <c r="G12" s="154"/>
    </row>
    <row r="13" spans="1:7" s="139" customFormat="1" ht="13.5">
      <c r="A13" s="135" t="s">
        <v>57</v>
      </c>
      <c r="B13" s="136">
        <v>310034</v>
      </c>
      <c r="C13" s="249">
        <v>224735</v>
      </c>
      <c r="D13" s="116">
        <f t="shared" si="0"/>
        <v>-27.512788919924912</v>
      </c>
      <c r="E13" s="117">
        <f t="shared" si="1"/>
        <v>11.42300266753128</v>
      </c>
      <c r="F13" s="118">
        <f t="shared" si="2"/>
        <v>8.55780262847747</v>
      </c>
      <c r="G13" s="154"/>
    </row>
    <row r="14" spans="1:7" s="139" customFormat="1" ht="13.5">
      <c r="A14" s="135" t="s">
        <v>58</v>
      </c>
      <c r="B14" s="136">
        <v>321126</v>
      </c>
      <c r="C14" s="249">
        <v>322401</v>
      </c>
      <c r="D14" s="116">
        <f t="shared" si="0"/>
        <v>0.39704041404309276</v>
      </c>
      <c r="E14" s="117">
        <f t="shared" si="1"/>
        <v>11.831680249952102</v>
      </c>
      <c r="F14" s="118">
        <f t="shared" si="2"/>
        <v>12.276877768143656</v>
      </c>
      <c r="G14" s="154"/>
    </row>
    <row r="15" spans="1:7" s="139" customFormat="1" ht="13.5">
      <c r="A15" s="135"/>
      <c r="B15" s="136"/>
      <c r="C15" s="249"/>
      <c r="D15" s="116"/>
      <c r="E15" s="117"/>
      <c r="F15" s="118"/>
      <c r="G15" s="154"/>
    </row>
    <row r="16" spans="1:7" s="139" customFormat="1" ht="13.5">
      <c r="A16" s="135"/>
      <c r="B16" s="136"/>
      <c r="C16" s="249"/>
      <c r="D16" s="116"/>
      <c r="E16" s="117"/>
      <c r="F16" s="118"/>
      <c r="G16" s="154"/>
    </row>
    <row r="17" spans="1:7" s="152" customFormat="1" ht="13.5">
      <c r="A17" s="146" t="s">
        <v>34</v>
      </c>
      <c r="B17" s="147">
        <v>1532341</v>
      </c>
      <c r="C17" s="196">
        <f>SUM(C19:C26)</f>
        <v>1452874</v>
      </c>
      <c r="D17" s="149">
        <f>(C17/B17-1)*100</f>
        <v>-5.185986670068865</v>
      </c>
      <c r="E17" s="150">
        <v>100</v>
      </c>
      <c r="F17" s="151">
        <v>100</v>
      </c>
      <c r="G17" s="98"/>
    </row>
    <row r="18" spans="1:7" s="139" customFormat="1" ht="13.5">
      <c r="A18" s="135"/>
      <c r="B18" s="136"/>
      <c r="C18" s="249"/>
      <c r="D18" s="116"/>
      <c r="E18" s="117"/>
      <c r="F18" s="118"/>
      <c r="G18" s="154"/>
    </row>
    <row r="19" spans="1:7" s="139" customFormat="1" ht="13.5">
      <c r="A19" s="135" t="s">
        <v>51</v>
      </c>
      <c r="B19" s="136">
        <v>52714</v>
      </c>
      <c r="C19" s="249">
        <f aca="true" t="shared" si="3" ref="C19:C26">C7-C31</f>
        <v>60472</v>
      </c>
      <c r="D19" s="116">
        <f aca="true" t="shared" si="4" ref="D19:D26">(C19/B19-1)*100</f>
        <v>14.717152938498312</v>
      </c>
      <c r="E19" s="117">
        <f>B19/1532341*100</f>
        <v>3.4400959055458284</v>
      </c>
      <c r="F19" s="118">
        <f>C19/1452873*100</f>
        <v>4.16223579074014</v>
      </c>
      <c r="G19" s="154"/>
    </row>
    <row r="20" spans="1:7" s="139" customFormat="1" ht="13.5">
      <c r="A20" s="135" t="s">
        <v>52</v>
      </c>
      <c r="B20" s="136">
        <v>120700</v>
      </c>
      <c r="C20" s="249">
        <f t="shared" si="3"/>
        <v>117327</v>
      </c>
      <c r="D20" s="116">
        <f t="shared" si="4"/>
        <v>-2.7945318972659505</v>
      </c>
      <c r="E20" s="117">
        <f aca="true" t="shared" si="5" ref="E20:E26">B20/1532341*100</f>
        <v>7.876836813737935</v>
      </c>
      <c r="F20" s="118">
        <f aca="true" t="shared" si="6" ref="F20:F26">C20/1452873*100</f>
        <v>8.075516579907536</v>
      </c>
      <c r="G20" s="154"/>
    </row>
    <row r="21" spans="1:7" s="139" customFormat="1" ht="13.5">
      <c r="A21" s="135" t="s">
        <v>53</v>
      </c>
      <c r="B21" s="136">
        <v>274520</v>
      </c>
      <c r="C21" s="249">
        <f t="shared" si="3"/>
        <v>273405</v>
      </c>
      <c r="D21" s="116">
        <f t="shared" si="4"/>
        <v>-0.406163485356259</v>
      </c>
      <c r="E21" s="117">
        <f t="shared" si="5"/>
        <v>17.915072428395508</v>
      </c>
      <c r="F21" s="118">
        <f t="shared" si="6"/>
        <v>18.818231187447218</v>
      </c>
      <c r="G21" s="154"/>
    </row>
    <row r="22" spans="1:7" s="139" customFormat="1" ht="13.5">
      <c r="A22" s="135" t="s">
        <v>54</v>
      </c>
      <c r="B22" s="136">
        <v>318070</v>
      </c>
      <c r="C22" s="249">
        <f t="shared" si="3"/>
        <v>373531</v>
      </c>
      <c r="D22" s="116">
        <f t="shared" si="4"/>
        <v>17.43672776432861</v>
      </c>
      <c r="E22" s="117">
        <f t="shared" si="5"/>
        <v>20.757129124653066</v>
      </c>
      <c r="F22" s="118">
        <f t="shared" si="6"/>
        <v>25.709817719786933</v>
      </c>
      <c r="G22" s="154"/>
    </row>
    <row r="23" spans="1:7" s="139" customFormat="1" ht="13.5">
      <c r="A23" s="135" t="s">
        <v>55</v>
      </c>
      <c r="B23" s="136">
        <v>194870</v>
      </c>
      <c r="C23" s="249">
        <f t="shared" si="3"/>
        <v>178233</v>
      </c>
      <c r="D23" s="116">
        <f t="shared" si="4"/>
        <v>-8.537486529481198</v>
      </c>
      <c r="E23" s="117">
        <f t="shared" si="5"/>
        <v>12.717143246836049</v>
      </c>
      <c r="F23" s="118">
        <f t="shared" si="6"/>
        <v>12.26762421767078</v>
      </c>
      <c r="G23" s="154"/>
    </row>
    <row r="24" spans="1:7" s="139" customFormat="1" ht="13.5">
      <c r="A24" s="135" t="s">
        <v>56</v>
      </c>
      <c r="B24" s="136">
        <v>166453</v>
      </c>
      <c r="C24" s="249">
        <f t="shared" si="3"/>
        <v>144256</v>
      </c>
      <c r="D24" s="116">
        <f t="shared" si="4"/>
        <v>-13.335295849278772</v>
      </c>
      <c r="E24" s="117">
        <f t="shared" si="5"/>
        <v>10.862660465261975</v>
      </c>
      <c r="F24" s="118">
        <f t="shared" si="6"/>
        <v>9.929016507292792</v>
      </c>
      <c r="G24" s="154"/>
    </row>
    <row r="25" spans="1:7" s="139" customFormat="1" ht="13.5">
      <c r="A25" s="135" t="s">
        <v>57</v>
      </c>
      <c r="B25" s="136">
        <v>207721</v>
      </c>
      <c r="C25" s="249">
        <f t="shared" si="3"/>
        <v>106606</v>
      </c>
      <c r="D25" s="116">
        <f t="shared" si="4"/>
        <v>-48.678275186427946</v>
      </c>
      <c r="E25" s="117">
        <f t="shared" si="5"/>
        <v>13.555794695828146</v>
      </c>
      <c r="F25" s="118">
        <f t="shared" si="6"/>
        <v>7.337599363468107</v>
      </c>
      <c r="G25" s="154"/>
    </row>
    <row r="26" spans="1:7" s="139" customFormat="1" ht="13.5">
      <c r="A26" s="135" t="s">
        <v>58</v>
      </c>
      <c r="B26" s="136">
        <v>197294</v>
      </c>
      <c r="C26" s="249">
        <f t="shared" si="3"/>
        <v>199044</v>
      </c>
      <c r="D26" s="116">
        <f t="shared" si="4"/>
        <v>0.8870011252242849</v>
      </c>
      <c r="E26" s="117">
        <f t="shared" si="5"/>
        <v>12.875332579367123</v>
      </c>
      <c r="F26" s="118">
        <f t="shared" si="6"/>
        <v>13.700027462827101</v>
      </c>
      <c r="G26" s="154"/>
    </row>
    <row r="27" spans="1:7" s="139" customFormat="1" ht="13.5">
      <c r="A27" s="135"/>
      <c r="B27" s="136"/>
      <c r="C27" s="249"/>
      <c r="D27" s="116"/>
      <c r="E27" s="117"/>
      <c r="F27" s="118"/>
      <c r="G27" s="154"/>
    </row>
    <row r="28" spans="1:7" s="139" customFormat="1" ht="13.5">
      <c r="A28" s="135"/>
      <c r="B28" s="136"/>
      <c r="C28" s="249"/>
      <c r="D28" s="116"/>
      <c r="E28" s="117"/>
      <c r="F28" s="118"/>
      <c r="G28" s="154"/>
    </row>
    <row r="29" spans="1:7" s="152" customFormat="1" ht="13.5">
      <c r="A29" s="146" t="s">
        <v>43</v>
      </c>
      <c r="B29" s="147">
        <f>SUM(B31:B38)</f>
        <v>1181779</v>
      </c>
      <c r="C29" s="196">
        <f>SUM(C31:C38)</f>
        <v>1173210</v>
      </c>
      <c r="D29" s="149">
        <f>(C29/B29-1)*100</f>
        <v>-0.725093270399968</v>
      </c>
      <c r="E29" s="150">
        <v>100</v>
      </c>
      <c r="F29" s="151">
        <v>100</v>
      </c>
      <c r="G29" s="98"/>
    </row>
    <row r="30" spans="1:7" s="139" customFormat="1" ht="13.5">
      <c r="A30" s="135"/>
      <c r="B30" s="136"/>
      <c r="C30" s="249"/>
      <c r="D30" s="116"/>
      <c r="E30" s="117"/>
      <c r="F30" s="118"/>
      <c r="G30" s="154"/>
    </row>
    <row r="31" spans="1:7" s="139" customFormat="1" ht="13.5">
      <c r="A31" s="135" t="s">
        <v>51</v>
      </c>
      <c r="B31" s="136">
        <v>104287</v>
      </c>
      <c r="C31" s="249">
        <v>93440</v>
      </c>
      <c r="D31" s="116">
        <f aca="true" t="shared" si="7" ref="D31:D38">(C31/B31-1)*100</f>
        <v>-10.40110464391535</v>
      </c>
      <c r="E31" s="117">
        <f>B31/1181779*100</f>
        <v>8.824577184058949</v>
      </c>
      <c r="F31" s="118">
        <f>C31/1173210*100</f>
        <v>7.964473538411708</v>
      </c>
      <c r="G31" s="154"/>
    </row>
    <row r="32" spans="1:7" s="139" customFormat="1" ht="13.5">
      <c r="A32" s="135" t="s">
        <v>52</v>
      </c>
      <c r="B32" s="136">
        <v>144275</v>
      </c>
      <c r="C32" s="249">
        <v>136370</v>
      </c>
      <c r="D32" s="116">
        <f t="shared" si="7"/>
        <v>-5.479119736614102</v>
      </c>
      <c r="E32" s="117">
        <f aca="true" t="shared" si="8" ref="E32:E38">B32/1181779*100</f>
        <v>12.208289367132096</v>
      </c>
      <c r="F32" s="118">
        <f aca="true" t="shared" si="9" ref="F32:F38">C32/1173210*100</f>
        <v>11.623664987512893</v>
      </c>
      <c r="G32" s="154"/>
    </row>
    <row r="33" spans="1:7" s="139" customFormat="1" ht="13.5">
      <c r="A33" s="135" t="s">
        <v>53</v>
      </c>
      <c r="B33" s="136">
        <v>276332</v>
      </c>
      <c r="C33" s="249">
        <v>264063</v>
      </c>
      <c r="D33" s="116">
        <f t="shared" si="7"/>
        <v>-4.439949046798775</v>
      </c>
      <c r="E33" s="117">
        <f t="shared" si="8"/>
        <v>23.382713688430748</v>
      </c>
      <c r="F33" s="118">
        <f t="shared" si="9"/>
        <v>22.507735188073745</v>
      </c>
      <c r="G33" s="154"/>
    </row>
    <row r="34" spans="1:7" s="139" customFormat="1" ht="13.5">
      <c r="A34" s="135" t="s">
        <v>54</v>
      </c>
      <c r="B34" s="136">
        <v>234455</v>
      </c>
      <c r="C34" s="249">
        <v>233167</v>
      </c>
      <c r="D34" s="116">
        <f t="shared" si="7"/>
        <v>-0.5493591520760899</v>
      </c>
      <c r="E34" s="117">
        <f t="shared" si="8"/>
        <v>19.83915774438368</v>
      </c>
      <c r="F34" s="118">
        <f t="shared" si="9"/>
        <v>19.874276557479053</v>
      </c>
      <c r="G34" s="154"/>
    </row>
    <row r="35" spans="1:7" s="139" customFormat="1" ht="13.5">
      <c r="A35" s="135" t="s">
        <v>55</v>
      </c>
      <c r="B35" s="136">
        <v>95268</v>
      </c>
      <c r="C35" s="249">
        <v>94627</v>
      </c>
      <c r="D35" s="116">
        <f t="shared" si="7"/>
        <v>-0.6728387286392024</v>
      </c>
      <c r="E35" s="117">
        <f t="shared" si="8"/>
        <v>8.061405728143756</v>
      </c>
      <c r="F35" s="118">
        <f t="shared" si="9"/>
        <v>8.065648946053988</v>
      </c>
      <c r="G35" s="154"/>
    </row>
    <row r="36" spans="1:7" s="139" customFormat="1" ht="13.5">
      <c r="A36" s="135" t="s">
        <v>56</v>
      </c>
      <c r="B36" s="136">
        <v>101017</v>
      </c>
      <c r="C36" s="249">
        <v>110057</v>
      </c>
      <c r="D36" s="116">
        <f t="shared" si="7"/>
        <v>8.948988784066048</v>
      </c>
      <c r="E36" s="117">
        <f t="shared" si="8"/>
        <v>8.547875702648296</v>
      </c>
      <c r="F36" s="118">
        <f t="shared" si="9"/>
        <v>9.380844009171419</v>
      </c>
      <c r="G36" s="154"/>
    </row>
    <row r="37" spans="1:7" s="139" customFormat="1" ht="13.5">
      <c r="A37" s="135" t="s">
        <v>57</v>
      </c>
      <c r="B37" s="136">
        <v>102313</v>
      </c>
      <c r="C37" s="249">
        <v>118129</v>
      </c>
      <c r="D37" s="116">
        <f t="shared" si="7"/>
        <v>15.458446140764126</v>
      </c>
      <c r="E37" s="117">
        <f t="shared" si="8"/>
        <v>8.657540876932151</v>
      </c>
      <c r="F37" s="118">
        <f t="shared" si="9"/>
        <v>10.068870875631813</v>
      </c>
      <c r="G37" s="154"/>
    </row>
    <row r="38" spans="1:7" s="139" customFormat="1" ht="13.5">
      <c r="A38" s="135" t="s">
        <v>58</v>
      </c>
      <c r="B38" s="136">
        <v>123832</v>
      </c>
      <c r="C38" s="249">
        <v>123357</v>
      </c>
      <c r="D38" s="116">
        <f t="shared" si="7"/>
        <v>-0.383584210866339</v>
      </c>
      <c r="E38" s="117">
        <f t="shared" si="8"/>
        <v>10.478439708270328</v>
      </c>
      <c r="F38" s="118">
        <f t="shared" si="9"/>
        <v>10.514485897665379</v>
      </c>
      <c r="G38" s="154"/>
    </row>
    <row r="39" spans="1:7" s="139" customFormat="1" ht="14.25" thickBot="1">
      <c r="A39" s="140"/>
      <c r="B39" s="141"/>
      <c r="C39" s="142"/>
      <c r="D39" s="143"/>
      <c r="E39" s="144"/>
      <c r="F39" s="145"/>
      <c r="G39" s="154"/>
    </row>
    <row r="40" spans="4:7" s="187" customFormat="1" ht="13.5">
      <c r="D40" s="250"/>
      <c r="E40" s="250"/>
      <c r="F40" s="250"/>
      <c r="G40" s="171"/>
    </row>
    <row r="41" spans="4:7" s="187" customFormat="1" ht="13.5">
      <c r="D41" s="250"/>
      <c r="E41" s="250"/>
      <c r="F41" s="250"/>
      <c r="G41" s="171"/>
    </row>
    <row r="42" spans="4:7" s="187" customFormat="1" ht="13.5">
      <c r="D42" s="250"/>
      <c r="E42" s="250"/>
      <c r="F42" s="250"/>
      <c r="G42" s="171"/>
    </row>
    <row r="43" spans="4:7" s="187" customFormat="1" ht="13.5">
      <c r="D43" s="250"/>
      <c r="E43" s="250"/>
      <c r="F43" s="250"/>
      <c r="G43" s="171"/>
    </row>
    <row r="44" spans="4:7" s="187" customFormat="1" ht="13.5">
      <c r="D44" s="250"/>
      <c r="E44" s="250"/>
      <c r="F44" s="250"/>
      <c r="G44" s="171"/>
    </row>
    <row r="45" spans="4:7" s="187" customFormat="1" ht="13.5">
      <c r="D45" s="250"/>
      <c r="E45" s="250"/>
      <c r="F45" s="250"/>
      <c r="G45" s="171"/>
    </row>
    <row r="46" spans="4:7" s="187" customFormat="1" ht="13.5">
      <c r="D46" s="250"/>
      <c r="E46" s="250"/>
      <c r="F46" s="250"/>
      <c r="G46" s="171"/>
    </row>
    <row r="47" spans="4:7" s="187" customFormat="1" ht="13.5">
      <c r="D47" s="250"/>
      <c r="E47" s="250"/>
      <c r="F47" s="250"/>
      <c r="G47" s="171"/>
    </row>
    <row r="48" spans="4:7" s="187" customFormat="1" ht="13.5">
      <c r="D48" s="250"/>
      <c r="E48" s="250"/>
      <c r="F48" s="250"/>
      <c r="G48" s="171"/>
    </row>
    <row r="49" spans="4:7" s="187" customFormat="1" ht="13.5">
      <c r="D49" s="250"/>
      <c r="E49" s="250"/>
      <c r="F49" s="250"/>
      <c r="G49" s="171"/>
    </row>
    <row r="50" spans="4:7" s="187" customFormat="1" ht="13.5">
      <c r="D50" s="250"/>
      <c r="E50" s="250"/>
      <c r="F50" s="250"/>
      <c r="G50" s="171"/>
    </row>
    <row r="51" spans="4:7" s="187" customFormat="1" ht="13.5">
      <c r="D51" s="250"/>
      <c r="E51" s="250"/>
      <c r="F51" s="250"/>
      <c r="G51" s="171"/>
    </row>
    <row r="52" spans="4:6" s="187" customFormat="1" ht="13.5">
      <c r="D52" s="250"/>
      <c r="E52" s="250"/>
      <c r="F52" s="250"/>
    </row>
    <row r="53" spans="4:6" s="187" customFormat="1" ht="13.5">
      <c r="D53" s="250"/>
      <c r="E53" s="250"/>
      <c r="F53" s="250"/>
    </row>
    <row r="54" spans="4:6" s="187" customFormat="1" ht="13.5">
      <c r="D54" s="250"/>
      <c r="E54" s="250"/>
      <c r="F54" s="250"/>
    </row>
    <row r="55" spans="4:6" s="187" customFormat="1" ht="13.5">
      <c r="D55" s="250"/>
      <c r="E55" s="250"/>
      <c r="F55" s="250"/>
    </row>
    <row r="56" spans="4:6" s="187" customFormat="1" ht="13.5">
      <c r="D56" s="250"/>
      <c r="E56" s="250"/>
      <c r="F56" s="250"/>
    </row>
    <row r="57" spans="4:6" s="187" customFormat="1" ht="13.5">
      <c r="D57" s="250"/>
      <c r="E57" s="250"/>
      <c r="F57" s="250"/>
    </row>
    <row r="58" spans="4:6" s="187" customFormat="1" ht="13.5">
      <c r="D58" s="250"/>
      <c r="E58" s="250"/>
      <c r="F58" s="250"/>
    </row>
    <row r="59" spans="4:6" s="187" customFormat="1" ht="13.5">
      <c r="D59" s="250"/>
      <c r="E59" s="250"/>
      <c r="F59" s="250"/>
    </row>
    <row r="60" spans="4:6" s="187" customFormat="1" ht="13.5">
      <c r="D60" s="250"/>
      <c r="E60" s="250"/>
      <c r="F60" s="250"/>
    </row>
    <row r="61" spans="4:6" s="187" customFormat="1" ht="13.5">
      <c r="D61" s="250"/>
      <c r="E61" s="250"/>
      <c r="F61" s="250"/>
    </row>
    <row r="62" spans="4:6" s="187" customFormat="1" ht="13.5">
      <c r="D62" s="250"/>
      <c r="E62" s="250"/>
      <c r="F62" s="250"/>
    </row>
    <row r="63" spans="4:6" s="187" customFormat="1" ht="13.5">
      <c r="D63" s="250"/>
      <c r="E63" s="250"/>
      <c r="F63" s="250"/>
    </row>
    <row r="64" spans="4:6" s="187" customFormat="1" ht="13.5">
      <c r="D64" s="250"/>
      <c r="E64" s="250"/>
      <c r="F64" s="250"/>
    </row>
    <row r="65" spans="4:6" s="187" customFormat="1" ht="13.5">
      <c r="D65" s="250"/>
      <c r="E65" s="250"/>
      <c r="F65" s="250"/>
    </row>
    <row r="66" spans="4:6" s="187" customFormat="1" ht="13.5">
      <c r="D66" s="250"/>
      <c r="E66" s="250"/>
      <c r="F66" s="250"/>
    </row>
  </sheetData>
  <mergeCells count="3">
    <mergeCell ref="B2:C2"/>
    <mergeCell ref="E2:F2"/>
    <mergeCell ref="A1:C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3">
    <tabColor indexed="46"/>
  </sheetPr>
  <dimension ref="A1:I59"/>
  <sheetViews>
    <sheetView view="pageBreakPreview" zoomScale="75" zoomScaleNormal="50" zoomScaleSheetLayoutView="75" workbookViewId="0" topLeftCell="A1">
      <selection activeCell="H19" sqref="H19"/>
    </sheetView>
  </sheetViews>
  <sheetFormatPr defaultColWidth="9.00390625" defaultRowHeight="13.5"/>
  <cols>
    <col min="1" max="1" width="30.25390625" style="0" customWidth="1"/>
    <col min="2" max="3" width="10.625" style="0" customWidth="1"/>
    <col min="4" max="6" width="10.625" style="35" customWidth="1"/>
    <col min="7" max="9" width="10.625" style="0" customWidth="1"/>
  </cols>
  <sheetData>
    <row r="1" ht="24">
      <c r="A1" s="473" t="s">
        <v>210</v>
      </c>
    </row>
    <row r="3" spans="1:9" ht="18">
      <c r="A3" s="165"/>
      <c r="B3" s="166"/>
      <c r="C3" s="166"/>
      <c r="D3" s="166"/>
      <c r="E3" s="166"/>
      <c r="F3" s="166"/>
      <c r="G3" s="254"/>
      <c r="H3" s="104"/>
      <c r="I3" s="255"/>
    </row>
    <row r="4" spans="1:9" ht="24">
      <c r="A4" s="609" t="s">
        <v>211</v>
      </c>
      <c r="B4" s="610"/>
      <c r="C4" s="610"/>
      <c r="D4" s="610"/>
      <c r="E4" s="610"/>
      <c r="F4" s="610"/>
      <c r="G4" s="610"/>
      <c r="H4" s="610"/>
      <c r="I4" s="611"/>
    </row>
    <row r="5" spans="1:9" ht="18">
      <c r="A5" s="167"/>
      <c r="B5" s="168"/>
      <c r="C5" s="168"/>
      <c r="D5" s="168"/>
      <c r="E5" s="168"/>
      <c r="F5" s="168"/>
      <c r="G5" s="259"/>
      <c r="H5" s="119"/>
      <c r="I5" s="256"/>
    </row>
    <row r="6" spans="1:9" ht="18">
      <c r="A6" s="314"/>
      <c r="B6" s="315"/>
      <c r="C6" s="315"/>
      <c r="D6" s="315"/>
      <c r="E6" s="315"/>
      <c r="F6" s="315"/>
      <c r="G6" s="154"/>
      <c r="H6" s="1"/>
      <c r="I6" s="1"/>
    </row>
    <row r="7" ht="18.75" customHeight="1"/>
    <row r="8" spans="1:6" s="264" customFormat="1" ht="18.75" customHeight="1">
      <c r="A8" s="263" t="s">
        <v>212</v>
      </c>
      <c r="D8" s="265"/>
      <c r="E8" s="265"/>
      <c r="F8" s="265"/>
    </row>
    <row r="9" spans="1:6" s="260" customFormat="1" ht="18.75" customHeight="1">
      <c r="A9" s="474" t="s">
        <v>222</v>
      </c>
      <c r="D9" s="261"/>
      <c r="E9" s="261"/>
      <c r="F9" s="261"/>
    </row>
    <row r="10" spans="1:6" s="260" customFormat="1" ht="18.75" customHeight="1">
      <c r="A10" s="474" t="s">
        <v>373</v>
      </c>
      <c r="D10" s="261"/>
      <c r="E10" s="261"/>
      <c r="F10" s="261"/>
    </row>
    <row r="11" spans="1:6" s="260" customFormat="1" ht="18.75" customHeight="1">
      <c r="A11" s="474" t="s">
        <v>223</v>
      </c>
      <c r="D11" s="261"/>
      <c r="E11" s="261"/>
      <c r="F11" s="261"/>
    </row>
    <row r="12" spans="1:6" s="260" customFormat="1" ht="18.75" customHeight="1">
      <c r="A12" s="474" t="s">
        <v>224</v>
      </c>
      <c r="D12" s="261"/>
      <c r="E12" s="261"/>
      <c r="F12" s="261"/>
    </row>
    <row r="13" spans="1:6" s="260" customFormat="1" ht="18.75" customHeight="1">
      <c r="A13" s="474" t="s">
        <v>374</v>
      </c>
      <c r="D13" s="261"/>
      <c r="E13" s="261"/>
      <c r="F13" s="261"/>
    </row>
    <row r="14" spans="4:6" s="260" customFormat="1" ht="18.75" customHeight="1">
      <c r="D14" s="261"/>
      <c r="E14" s="261"/>
      <c r="F14" s="261"/>
    </row>
    <row r="15" spans="1:6" s="264" customFormat="1" ht="18.75" customHeight="1">
      <c r="A15" s="263" t="s">
        <v>213</v>
      </c>
      <c r="D15" s="265"/>
      <c r="E15" s="265"/>
      <c r="F15" s="265"/>
    </row>
    <row r="16" spans="1:6" s="260" customFormat="1" ht="18.75" customHeight="1">
      <c r="A16" s="474" t="s">
        <v>226</v>
      </c>
      <c r="D16" s="261"/>
      <c r="E16" s="261"/>
      <c r="F16" s="261"/>
    </row>
    <row r="17" spans="1:6" s="260" customFormat="1" ht="18.75" customHeight="1">
      <c r="A17" s="474" t="s">
        <v>225</v>
      </c>
      <c r="D17" s="261"/>
      <c r="E17" s="261"/>
      <c r="F17" s="261"/>
    </row>
    <row r="18" spans="1:6" s="260" customFormat="1" ht="18.75" customHeight="1">
      <c r="A18" s="474" t="s">
        <v>375</v>
      </c>
      <c r="D18" s="261"/>
      <c r="E18" s="261"/>
      <c r="F18" s="261"/>
    </row>
    <row r="19" spans="4:6" s="260" customFormat="1" ht="18.75" customHeight="1">
      <c r="D19" s="261"/>
      <c r="E19" s="261"/>
      <c r="F19" s="261"/>
    </row>
    <row r="20" spans="4:6" s="260" customFormat="1" ht="18.75">
      <c r="D20" s="261"/>
      <c r="E20" s="261"/>
      <c r="F20" s="261"/>
    </row>
    <row r="21" spans="1:6" s="96" customFormat="1" ht="18" customHeight="1" thickBot="1">
      <c r="A21" s="242" t="s">
        <v>215</v>
      </c>
      <c r="B21" s="242"/>
      <c r="C21" s="242"/>
      <c r="D21" s="203"/>
      <c r="E21" s="203"/>
      <c r="F21" s="203"/>
    </row>
    <row r="22" spans="1:9" s="96" customFormat="1" ht="18" customHeight="1" thickBot="1">
      <c r="A22" s="612" t="s">
        <v>22</v>
      </c>
      <c r="B22" s="613"/>
      <c r="C22" s="614" t="s">
        <v>74</v>
      </c>
      <c r="D22" s="615"/>
      <c r="E22" s="268" t="s">
        <v>59</v>
      </c>
      <c r="F22" s="618" t="s">
        <v>31</v>
      </c>
      <c r="G22" s="619"/>
      <c r="H22" s="616" t="s">
        <v>231</v>
      </c>
      <c r="I22" s="617"/>
    </row>
    <row r="23" spans="1:9" s="96" customFormat="1" ht="18" customHeight="1" thickBot="1">
      <c r="A23" s="269"/>
      <c r="B23" s="270"/>
      <c r="C23" s="258" t="s">
        <v>48</v>
      </c>
      <c r="D23" s="271" t="s">
        <v>49</v>
      </c>
      <c r="E23" s="272" t="s">
        <v>243</v>
      </c>
      <c r="F23" s="258" t="s">
        <v>48</v>
      </c>
      <c r="G23" s="271" t="s">
        <v>49</v>
      </c>
      <c r="H23" s="258" t="s">
        <v>48</v>
      </c>
      <c r="I23" s="271" t="s">
        <v>49</v>
      </c>
    </row>
    <row r="24" spans="1:9" s="96" customFormat="1" ht="18" customHeight="1">
      <c r="A24" s="273"/>
      <c r="B24" s="274"/>
      <c r="C24" s="275" t="s">
        <v>345</v>
      </c>
      <c r="D24" s="276" t="s">
        <v>345</v>
      </c>
      <c r="E24" s="277" t="s">
        <v>346</v>
      </c>
      <c r="F24" s="278" t="s">
        <v>346</v>
      </c>
      <c r="G24" s="279" t="s">
        <v>346</v>
      </c>
      <c r="H24" s="275" t="s">
        <v>345</v>
      </c>
      <c r="I24" s="276" t="s">
        <v>345</v>
      </c>
    </row>
    <row r="25" spans="1:9" s="316" customFormat="1" ht="18" customHeight="1">
      <c r="A25" s="317" t="s">
        <v>43</v>
      </c>
      <c r="B25" s="318"/>
      <c r="C25" s="317">
        <f>SUM(C27:C32)</f>
        <v>1566034</v>
      </c>
      <c r="D25" s="318">
        <f>SUM(D27:D32)</f>
        <v>1552928</v>
      </c>
      <c r="E25" s="319">
        <f>(D25/C25-1)*100</f>
        <v>-0.8368911530656442</v>
      </c>
      <c r="F25" s="320">
        <v>100</v>
      </c>
      <c r="G25" s="321">
        <v>100</v>
      </c>
      <c r="H25" s="317">
        <v>125</v>
      </c>
      <c r="I25" s="318">
        <v>107</v>
      </c>
    </row>
    <row r="26" spans="1:9" s="199" customFormat="1" ht="18" customHeight="1">
      <c r="A26" s="281"/>
      <c r="B26" s="253"/>
      <c r="C26" s="281"/>
      <c r="D26" s="252"/>
      <c r="E26" s="282"/>
      <c r="F26" s="283"/>
      <c r="G26" s="284"/>
      <c r="H26" s="281"/>
      <c r="I26" s="115"/>
    </row>
    <row r="27" spans="1:9" s="199" customFormat="1" ht="18" customHeight="1">
      <c r="A27" s="281" t="s">
        <v>44</v>
      </c>
      <c r="B27" s="253"/>
      <c r="C27" s="281">
        <v>196950</v>
      </c>
      <c r="D27" s="252">
        <v>186535</v>
      </c>
      <c r="E27" s="282">
        <f aca="true" t="shared" si="0" ref="E27:E32">(D27/C27-1)*100</f>
        <v>-5.288144199035283</v>
      </c>
      <c r="F27" s="283">
        <f aca="true" t="shared" si="1" ref="F27:F32">C27/1566034*100</f>
        <v>12.57635530263072</v>
      </c>
      <c r="G27" s="284">
        <f aca="true" t="shared" si="2" ref="G27:G32">D27/1552928*100</f>
        <v>12.011825403367059</v>
      </c>
      <c r="H27" s="281">
        <v>3716</v>
      </c>
      <c r="I27" s="253">
        <v>3250</v>
      </c>
    </row>
    <row r="28" spans="1:9" s="199" customFormat="1" ht="18" customHeight="1">
      <c r="A28" s="281" t="s">
        <v>62</v>
      </c>
      <c r="B28" s="253"/>
      <c r="C28" s="281">
        <v>248562</v>
      </c>
      <c r="D28" s="252">
        <v>224881</v>
      </c>
      <c r="E28" s="282">
        <f t="shared" si="0"/>
        <v>-9.527200457028828</v>
      </c>
      <c r="F28" s="283">
        <f t="shared" si="1"/>
        <v>15.87206918879156</v>
      </c>
      <c r="G28" s="284">
        <f t="shared" si="2"/>
        <v>14.48109635475695</v>
      </c>
      <c r="H28" s="281">
        <v>134</v>
      </c>
      <c r="I28" s="253">
        <v>123</v>
      </c>
    </row>
    <row r="29" spans="1:9" s="199" customFormat="1" ht="18" customHeight="1">
      <c r="A29" s="281" t="s">
        <v>45</v>
      </c>
      <c r="B29" s="253"/>
      <c r="C29" s="281">
        <v>514889</v>
      </c>
      <c r="D29" s="252">
        <v>519207</v>
      </c>
      <c r="E29" s="282">
        <f t="shared" si="0"/>
        <v>0.8386273546337142</v>
      </c>
      <c r="F29" s="283">
        <f t="shared" si="1"/>
        <v>32.87853264999355</v>
      </c>
      <c r="G29" s="284">
        <f t="shared" si="2"/>
        <v>33.43406777390838</v>
      </c>
      <c r="H29" s="281">
        <v>92</v>
      </c>
      <c r="I29" s="253">
        <v>89</v>
      </c>
    </row>
    <row r="30" spans="1:9" s="199" customFormat="1" ht="18" customHeight="1">
      <c r="A30" s="281" t="s">
        <v>46</v>
      </c>
      <c r="B30" s="253"/>
      <c r="C30" s="281">
        <v>37673</v>
      </c>
      <c r="D30" s="252">
        <v>32322</v>
      </c>
      <c r="E30" s="282">
        <f t="shared" si="0"/>
        <v>-14.2038064396252</v>
      </c>
      <c r="F30" s="283">
        <f t="shared" si="1"/>
        <v>2.405631039939107</v>
      </c>
      <c r="G30" s="284">
        <f t="shared" si="2"/>
        <v>2.0813585691030108</v>
      </c>
      <c r="H30" s="281">
        <v>89</v>
      </c>
      <c r="I30" s="253">
        <v>34</v>
      </c>
    </row>
    <row r="31" spans="1:9" s="199" customFormat="1" ht="18" customHeight="1">
      <c r="A31" s="281" t="s">
        <v>61</v>
      </c>
      <c r="B31" s="253"/>
      <c r="C31" s="281">
        <v>177053</v>
      </c>
      <c r="D31" s="252">
        <v>197340</v>
      </c>
      <c r="E31" s="282">
        <f t="shared" si="0"/>
        <v>11.458150949150813</v>
      </c>
      <c r="F31" s="283">
        <f t="shared" si="1"/>
        <v>11.305820946416233</v>
      </c>
      <c r="G31" s="284">
        <f t="shared" si="2"/>
        <v>12.707607822126976</v>
      </c>
      <c r="H31" s="281">
        <v>162</v>
      </c>
      <c r="I31" s="253">
        <v>150</v>
      </c>
    </row>
    <row r="32" spans="1:9" s="199" customFormat="1" ht="18" customHeight="1">
      <c r="A32" s="281" t="s">
        <v>47</v>
      </c>
      <c r="B32" s="253"/>
      <c r="C32" s="281">
        <v>390907</v>
      </c>
      <c r="D32" s="252">
        <v>392643</v>
      </c>
      <c r="E32" s="282">
        <f t="shared" si="0"/>
        <v>0.44409539864980196</v>
      </c>
      <c r="F32" s="283">
        <f t="shared" si="1"/>
        <v>24.96159087222883</v>
      </c>
      <c r="G32" s="284">
        <f t="shared" si="2"/>
        <v>25.284044076737622</v>
      </c>
      <c r="H32" s="281">
        <v>110</v>
      </c>
      <c r="I32" s="253">
        <v>88</v>
      </c>
    </row>
    <row r="33" spans="1:9" s="22" customFormat="1" ht="18" customHeight="1" thickBot="1">
      <c r="A33" s="24"/>
      <c r="B33" s="26"/>
      <c r="C33" s="24"/>
      <c r="D33" s="25"/>
      <c r="E33" s="34"/>
      <c r="F33" s="36"/>
      <c r="G33" s="37"/>
      <c r="H33" s="24"/>
      <c r="I33" s="26"/>
    </row>
    <row r="34" ht="18" customHeight="1"/>
    <row r="35" ht="18" customHeight="1"/>
    <row r="36" ht="18" customHeight="1"/>
    <row r="37" spans="1:6" s="96" customFormat="1" ht="18" customHeight="1" thickBot="1">
      <c r="A37" s="591" t="s">
        <v>217</v>
      </c>
      <c r="B37" s="591"/>
      <c r="C37" s="591"/>
      <c r="D37" s="203"/>
      <c r="E37" s="203"/>
      <c r="F37" s="203"/>
    </row>
    <row r="38" spans="1:9" s="96" customFormat="1" ht="18" customHeight="1" thickBot="1">
      <c r="A38" s="285"/>
      <c r="B38" s="620" t="s">
        <v>16</v>
      </c>
      <c r="C38" s="620"/>
      <c r="D38" s="620"/>
      <c r="E38" s="620"/>
      <c r="F38" s="615"/>
      <c r="G38" s="620" t="s">
        <v>65</v>
      </c>
      <c r="H38" s="620"/>
      <c r="I38" s="620"/>
    </row>
    <row r="39" spans="1:9" s="96" customFormat="1" ht="18" customHeight="1" thickBot="1">
      <c r="A39" s="286"/>
      <c r="B39" s="620" t="s">
        <v>18</v>
      </c>
      <c r="C39" s="620"/>
      <c r="D39" s="272" t="s">
        <v>59</v>
      </c>
      <c r="E39" s="621" t="s">
        <v>31</v>
      </c>
      <c r="F39" s="622"/>
      <c r="G39" s="620" t="s">
        <v>18</v>
      </c>
      <c r="H39" s="620"/>
      <c r="I39" s="272" t="s">
        <v>59</v>
      </c>
    </row>
    <row r="40" spans="1:9" s="96" customFormat="1" ht="18" customHeight="1" thickBot="1">
      <c r="A40" s="287" t="s">
        <v>50</v>
      </c>
      <c r="B40" s="288" t="s">
        <v>48</v>
      </c>
      <c r="C40" s="272" t="s">
        <v>49</v>
      </c>
      <c r="D40" s="272" t="s">
        <v>243</v>
      </c>
      <c r="E40" s="288" t="s">
        <v>48</v>
      </c>
      <c r="F40" s="272" t="s">
        <v>49</v>
      </c>
      <c r="G40" s="288" t="s">
        <v>48</v>
      </c>
      <c r="H40" s="272" t="s">
        <v>49</v>
      </c>
      <c r="I40" s="272" t="s">
        <v>243</v>
      </c>
    </row>
    <row r="41" spans="1:9" s="187" customFormat="1" ht="18" customHeight="1">
      <c r="A41" s="243"/>
      <c r="B41" s="244" t="s">
        <v>32</v>
      </c>
      <c r="C41" s="245" t="s">
        <v>32</v>
      </c>
      <c r="D41" s="246" t="s">
        <v>346</v>
      </c>
      <c r="E41" s="247" t="s">
        <v>346</v>
      </c>
      <c r="F41" s="248" t="s">
        <v>346</v>
      </c>
      <c r="G41" s="244" t="s">
        <v>60</v>
      </c>
      <c r="H41" s="245" t="s">
        <v>60</v>
      </c>
      <c r="I41" s="246" t="s">
        <v>347</v>
      </c>
    </row>
    <row r="42" spans="1:9" s="316" customFormat="1" ht="18" customHeight="1">
      <c r="A42" s="333" t="s">
        <v>88</v>
      </c>
      <c r="B42" s="317">
        <v>14995</v>
      </c>
      <c r="C42" s="334">
        <v>14463</v>
      </c>
      <c r="D42" s="319">
        <f>(C42/B42-1)*100</f>
        <v>-3.547849283094362</v>
      </c>
      <c r="E42" s="335" t="s">
        <v>348</v>
      </c>
      <c r="F42" s="336" t="s">
        <v>348</v>
      </c>
      <c r="G42" s="317">
        <v>75123</v>
      </c>
      <c r="H42" s="334">
        <v>75464</v>
      </c>
      <c r="I42" s="319">
        <f>(H42/G42-1)*100</f>
        <v>0.45392223420257505</v>
      </c>
    </row>
    <row r="43" spans="1:9" s="199" customFormat="1" ht="18" customHeight="1">
      <c r="A43" s="327"/>
      <c r="B43" s="328"/>
      <c r="C43" s="329"/>
      <c r="D43" s="330"/>
      <c r="E43" s="331"/>
      <c r="F43" s="332"/>
      <c r="G43" s="328"/>
      <c r="H43" s="329"/>
      <c r="I43" s="330"/>
    </row>
    <row r="44" spans="1:9" s="316" customFormat="1" ht="18" customHeight="1">
      <c r="A44" s="333" t="s">
        <v>89</v>
      </c>
      <c r="B44" s="317">
        <f>SUM(B46:B57)</f>
        <v>12566</v>
      </c>
      <c r="C44" s="337">
        <f>SUM(C46:C57)</f>
        <v>12078</v>
      </c>
      <c r="D44" s="319">
        <f>(C44/B44-1)*100</f>
        <v>-3.8834951456310662</v>
      </c>
      <c r="E44" s="335"/>
      <c r="F44" s="336"/>
      <c r="G44" s="317">
        <v>57336</v>
      </c>
      <c r="H44" s="337">
        <f>SUM(H46:H57)</f>
        <v>57239</v>
      </c>
      <c r="I44" s="319">
        <f>(H44/G44-1)*100</f>
        <v>-0.1691781777591772</v>
      </c>
    </row>
    <row r="45" spans="1:9" s="199" customFormat="1" ht="18" customHeight="1">
      <c r="A45" s="290"/>
      <c r="B45" s="281"/>
      <c r="C45" s="291"/>
      <c r="D45" s="282"/>
      <c r="E45" s="292"/>
      <c r="F45" s="293"/>
      <c r="G45" s="281"/>
      <c r="H45" s="291"/>
      <c r="I45" s="282"/>
    </row>
    <row r="46" spans="1:9" s="299" customFormat="1" ht="18" customHeight="1">
      <c r="A46" s="294" t="s">
        <v>75</v>
      </c>
      <c r="B46" s="295">
        <v>553</v>
      </c>
      <c r="C46" s="291">
        <v>529</v>
      </c>
      <c r="D46" s="296">
        <f aca="true" t="shared" si="3" ref="D46:D57">(C46/B46-1)*100</f>
        <v>-4.3399638336347195</v>
      </c>
      <c r="E46" s="297">
        <f aca="true" t="shared" si="4" ref="E46:E57">B46/12566*100</f>
        <v>4.400763966258157</v>
      </c>
      <c r="F46" s="298">
        <f aca="true" t="shared" si="5" ref="F46:F57">C46/12078*100</f>
        <v>4.37986421592979</v>
      </c>
      <c r="G46" s="295">
        <v>1144</v>
      </c>
      <c r="H46" s="291">
        <v>1034</v>
      </c>
      <c r="I46" s="296">
        <f aca="true" t="shared" si="6" ref="I46:I57">(H46/G46-1)*100</f>
        <v>-9.615384615384615</v>
      </c>
    </row>
    <row r="47" spans="1:9" s="299" customFormat="1" ht="18" customHeight="1">
      <c r="A47" s="294" t="s">
        <v>76</v>
      </c>
      <c r="B47" s="295">
        <v>1619</v>
      </c>
      <c r="C47" s="291">
        <v>1624</v>
      </c>
      <c r="D47" s="296">
        <f t="shared" si="3"/>
        <v>0.30883261272389717</v>
      </c>
      <c r="E47" s="297">
        <f t="shared" si="4"/>
        <v>12.883972624542416</v>
      </c>
      <c r="F47" s="298">
        <f t="shared" si="5"/>
        <v>13.445934757410166</v>
      </c>
      <c r="G47" s="295">
        <v>3729</v>
      </c>
      <c r="H47" s="291">
        <v>3569</v>
      </c>
      <c r="I47" s="296">
        <f t="shared" si="6"/>
        <v>-4.290694556181284</v>
      </c>
    </row>
    <row r="48" spans="1:9" s="299" customFormat="1" ht="18" customHeight="1">
      <c r="A48" s="294" t="s">
        <v>77</v>
      </c>
      <c r="B48" s="295">
        <v>1745</v>
      </c>
      <c r="C48" s="291">
        <v>1646</v>
      </c>
      <c r="D48" s="296">
        <f t="shared" si="3"/>
        <v>-5.673352435530088</v>
      </c>
      <c r="E48" s="297">
        <f t="shared" si="4"/>
        <v>13.886678338373388</v>
      </c>
      <c r="F48" s="298">
        <f t="shared" si="5"/>
        <v>13.628084119887399</v>
      </c>
      <c r="G48" s="295">
        <v>3916</v>
      </c>
      <c r="H48" s="291">
        <v>3683</v>
      </c>
      <c r="I48" s="296">
        <f t="shared" si="6"/>
        <v>-5.949948927477022</v>
      </c>
    </row>
    <row r="49" spans="1:9" s="300" customFormat="1" ht="18" customHeight="1">
      <c r="A49" s="294" t="s">
        <v>78</v>
      </c>
      <c r="B49" s="295">
        <v>3049</v>
      </c>
      <c r="C49" s="291">
        <v>2938</v>
      </c>
      <c r="D49" s="296">
        <f t="shared" si="3"/>
        <v>-3.640537881272543</v>
      </c>
      <c r="E49" s="297">
        <f t="shared" si="4"/>
        <v>24.263886678338373</v>
      </c>
      <c r="F49" s="298">
        <f t="shared" si="5"/>
        <v>24.325219407186623</v>
      </c>
      <c r="G49" s="295">
        <v>7857</v>
      </c>
      <c r="H49" s="291">
        <v>7812</v>
      </c>
      <c r="I49" s="296">
        <f t="shared" si="6"/>
        <v>-0.572737686139746</v>
      </c>
    </row>
    <row r="50" spans="1:9" s="280" customFormat="1" ht="18" customHeight="1">
      <c r="A50" s="290" t="s">
        <v>79</v>
      </c>
      <c r="B50" s="281">
        <v>3115</v>
      </c>
      <c r="C50" s="291">
        <v>2930</v>
      </c>
      <c r="D50" s="282">
        <f t="shared" si="3"/>
        <v>-5.9390048154093105</v>
      </c>
      <c r="E50" s="292">
        <f t="shared" si="4"/>
        <v>24.789113480821264</v>
      </c>
      <c r="F50" s="298">
        <f t="shared" si="5"/>
        <v>24.258983275376718</v>
      </c>
      <c r="G50" s="281">
        <v>11041</v>
      </c>
      <c r="H50" s="291">
        <v>10808</v>
      </c>
      <c r="I50" s="282">
        <f t="shared" si="6"/>
        <v>-2.1103160945566524</v>
      </c>
    </row>
    <row r="51" spans="1:9" s="280" customFormat="1" ht="18" customHeight="1">
      <c r="A51" s="290" t="s">
        <v>80</v>
      </c>
      <c r="B51" s="281">
        <v>1513</v>
      </c>
      <c r="C51" s="291">
        <v>1491</v>
      </c>
      <c r="D51" s="282">
        <f t="shared" si="3"/>
        <v>-1.4540647719762045</v>
      </c>
      <c r="E51" s="292">
        <f t="shared" si="4"/>
        <v>12.04042654782747</v>
      </c>
      <c r="F51" s="298">
        <f t="shared" si="5"/>
        <v>12.34475906607054</v>
      </c>
      <c r="G51" s="281">
        <v>9209</v>
      </c>
      <c r="H51" s="291">
        <v>9098</v>
      </c>
      <c r="I51" s="282">
        <f t="shared" si="6"/>
        <v>-1.2053425996307987</v>
      </c>
    </row>
    <row r="52" spans="1:9" s="280" customFormat="1" ht="18" customHeight="1">
      <c r="A52" s="290" t="s">
        <v>81</v>
      </c>
      <c r="B52" s="281">
        <v>499</v>
      </c>
      <c r="C52" s="291">
        <v>428</v>
      </c>
      <c r="D52" s="282">
        <f t="shared" si="3"/>
        <v>-14.228456913827658</v>
      </c>
      <c r="E52" s="292">
        <f t="shared" si="4"/>
        <v>3.9710329460448826</v>
      </c>
      <c r="F52" s="298">
        <f t="shared" si="5"/>
        <v>3.543633051829773</v>
      </c>
      <c r="G52" s="281">
        <v>4490</v>
      </c>
      <c r="H52" s="291">
        <v>3800</v>
      </c>
      <c r="I52" s="282">
        <f t="shared" si="6"/>
        <v>-15.367483296213813</v>
      </c>
    </row>
    <row r="53" spans="1:9" s="280" customFormat="1" ht="18" customHeight="1">
      <c r="A53" s="290" t="s">
        <v>82</v>
      </c>
      <c r="B53" s="281">
        <v>265</v>
      </c>
      <c r="C53" s="291">
        <v>274</v>
      </c>
      <c r="D53" s="282">
        <f t="shared" si="3"/>
        <v>3.396226415094339</v>
      </c>
      <c r="E53" s="292">
        <f t="shared" si="4"/>
        <v>2.1088651917873626</v>
      </c>
      <c r="F53" s="298">
        <f t="shared" si="5"/>
        <v>2.2685875144891536</v>
      </c>
      <c r="G53" s="281">
        <v>4000</v>
      </c>
      <c r="H53" s="291">
        <v>4531</v>
      </c>
      <c r="I53" s="282">
        <f t="shared" si="6"/>
        <v>13.274999999999991</v>
      </c>
    </row>
    <row r="54" spans="1:9" s="280" customFormat="1" ht="18" customHeight="1">
      <c r="A54" s="290" t="s">
        <v>83</v>
      </c>
      <c r="B54" s="281">
        <v>84</v>
      </c>
      <c r="C54" s="253">
        <v>88</v>
      </c>
      <c r="D54" s="282">
        <f t="shared" si="3"/>
        <v>4.761904761904767</v>
      </c>
      <c r="E54" s="292">
        <f t="shared" si="4"/>
        <v>0.668470475887315</v>
      </c>
      <c r="F54" s="298">
        <f t="shared" si="5"/>
        <v>0.7285974499089253</v>
      </c>
      <c r="G54" s="281">
        <v>2494</v>
      </c>
      <c r="H54" s="291">
        <v>2717</v>
      </c>
      <c r="I54" s="282">
        <f t="shared" si="6"/>
        <v>8.941459502806737</v>
      </c>
    </row>
    <row r="55" spans="1:9" s="280" customFormat="1" ht="18" customHeight="1">
      <c r="A55" s="290" t="s">
        <v>84</v>
      </c>
      <c r="B55" s="281">
        <v>79</v>
      </c>
      <c r="C55" s="253">
        <v>80</v>
      </c>
      <c r="D55" s="282">
        <f t="shared" si="3"/>
        <v>1.2658227848101333</v>
      </c>
      <c r="E55" s="292">
        <f t="shared" si="4"/>
        <v>0.6286805666083082</v>
      </c>
      <c r="F55" s="298">
        <f t="shared" si="5"/>
        <v>0.662361318099023</v>
      </c>
      <c r="G55" s="281">
        <v>3432</v>
      </c>
      <c r="H55" s="291">
        <v>3859</v>
      </c>
      <c r="I55" s="282">
        <f t="shared" si="6"/>
        <v>12.441724941724953</v>
      </c>
    </row>
    <row r="56" spans="1:9" s="289" customFormat="1" ht="18" customHeight="1">
      <c r="A56" s="290" t="s">
        <v>85</v>
      </c>
      <c r="B56" s="281">
        <v>25</v>
      </c>
      <c r="C56" s="253">
        <v>27</v>
      </c>
      <c r="D56" s="282">
        <f t="shared" si="3"/>
        <v>8.000000000000007</v>
      </c>
      <c r="E56" s="292">
        <f t="shared" si="4"/>
        <v>0.1989495463950342</v>
      </c>
      <c r="F56" s="298">
        <f t="shared" si="5"/>
        <v>0.22354694485842028</v>
      </c>
      <c r="G56" s="281">
        <v>1626</v>
      </c>
      <c r="H56" s="291">
        <v>1425</v>
      </c>
      <c r="I56" s="282">
        <f t="shared" si="6"/>
        <v>-12.361623616236162</v>
      </c>
    </row>
    <row r="57" spans="1:9" s="199" customFormat="1" ht="18" customHeight="1">
      <c r="A57" s="290" t="s">
        <v>86</v>
      </c>
      <c r="B57" s="281">
        <v>20</v>
      </c>
      <c r="C57" s="291">
        <v>23</v>
      </c>
      <c r="D57" s="282">
        <f t="shared" si="3"/>
        <v>14.999999999999991</v>
      </c>
      <c r="E57" s="292">
        <f t="shared" si="4"/>
        <v>0.15915963711602737</v>
      </c>
      <c r="F57" s="298">
        <f t="shared" si="5"/>
        <v>0.1904288789534691</v>
      </c>
      <c r="G57" s="281">
        <v>4398</v>
      </c>
      <c r="H57" s="291">
        <v>4903</v>
      </c>
      <c r="I57" s="282">
        <f t="shared" si="6"/>
        <v>11.482492041837201</v>
      </c>
    </row>
    <row r="58" spans="1:9" s="199" customFormat="1" ht="18" customHeight="1">
      <c r="A58" s="301"/>
      <c r="B58" s="302"/>
      <c r="C58" s="303"/>
      <c r="D58" s="304"/>
      <c r="E58" s="305"/>
      <c r="F58" s="306"/>
      <c r="G58" s="302"/>
      <c r="H58" s="303"/>
      <c r="I58" s="304"/>
    </row>
    <row r="59" spans="1:9" s="199" customFormat="1" ht="18" customHeight="1" thickBot="1">
      <c r="A59" s="307" t="s">
        <v>87</v>
      </c>
      <c r="B59" s="308">
        <f>B42-B44</f>
        <v>2429</v>
      </c>
      <c r="C59" s="309">
        <f>C42-C44</f>
        <v>2385</v>
      </c>
      <c r="D59" s="310">
        <f>(C59/B59-1)*100</f>
        <v>-1.8114450391107484</v>
      </c>
      <c r="E59" s="311" t="s">
        <v>349</v>
      </c>
      <c r="F59" s="312" t="s">
        <v>349</v>
      </c>
      <c r="G59" s="308">
        <f>G42-G44</f>
        <v>17787</v>
      </c>
      <c r="H59" s="309">
        <f>H42-H44</f>
        <v>18225</v>
      </c>
      <c r="I59" s="310">
        <f>(H59/G59-1)*100</f>
        <v>2.4624725923427127</v>
      </c>
    </row>
  </sheetData>
  <mergeCells count="11">
    <mergeCell ref="G38:I38"/>
    <mergeCell ref="G39:H39"/>
    <mergeCell ref="A37:C37"/>
    <mergeCell ref="B39:C39"/>
    <mergeCell ref="E39:F39"/>
    <mergeCell ref="B38:F38"/>
    <mergeCell ref="A4:I4"/>
    <mergeCell ref="A22:B22"/>
    <mergeCell ref="C22:D22"/>
    <mergeCell ref="H22:I22"/>
    <mergeCell ref="F22:G22"/>
  </mergeCells>
  <printOptions/>
  <pageMargins left="0.75" right="0.75" top="1" bottom="1" header="0.512" footer="0.51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秋田県庁</cp:lastModifiedBy>
  <cp:lastPrinted>2005-07-27T06:53:39Z</cp:lastPrinted>
  <dcterms:created xsi:type="dcterms:W3CDTF">2005-06-24T06:10:44Z</dcterms:created>
  <dcterms:modified xsi:type="dcterms:W3CDTF">2005-07-27T06:54:37Z</dcterms:modified>
  <cp:category/>
  <cp:version/>
  <cp:contentType/>
  <cp:contentStatus/>
</cp:coreProperties>
</file>